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6738ba632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d117aaa6bdd4c0f"/>
    <x:sheet xmlns:r="http://schemas.openxmlformats.org/officeDocument/2006/relationships" name="Produtos" sheetId="2" r:id="R44350786089d4ab7"/>
    <x:sheet xmlns:r="http://schemas.openxmlformats.org/officeDocument/2006/relationships" name="Lotes" sheetId="3" r:id="R5f625016ee9f46cc"/>
    <x:sheet xmlns:r="http://schemas.openxmlformats.org/officeDocument/2006/relationships" name="Movimentacoes" sheetId="4" r:id="Ra4dcb9e51fa34dd2"/>
    <x:sheet xmlns:r="http://schemas.openxmlformats.org/officeDocument/2006/relationships" name="Listas" sheetId="5" r:id="R674c89c0bde44287"/>
    <x:sheet xmlns:r="http://schemas.openxmlformats.org/officeDocument/2006/relationships" name="Instrucoes" sheetId="6" r:id="Rf10d0306ec8a40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0"/>
    <x:numFmt numFmtId="202" formatCode="&quot;R$&quot; #,##0.00;[Red]-&quot;R$&quot; #,##0.00"/>
    <x:numFmt numFmtId="203" formatCode="0 &quot;dias&quot;"/>
    <x:numFmt numFmtId="204" formatCode="&quot;R$&quot; #,##0.00"/>
    <x:numFmt numFmtId="205" formatCode="#,##0.00"/>
  </x:numFmts>
  <x:fonts count="19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173D2B"/>
      <x:name val="Arial"/>
    </x:font>
    <x:font>
      <x:b/>
      <x:sz val="9"/>
      <x:color rgb="FFFFFFFF"/>
      <x:name val="Arial"/>
    </x:font>
    <x:font>
      <x:b/>
      <x:sz val="14"/>
      <x:color rgb="FF173D2B"/>
      <x:name val="Arial"/>
    </x:font>
    <x:font>
      <x:b/>
      <x:sz val="10"/>
      <x:color rgb="FF245B91"/>
      <x:name val="Arial"/>
    </x:font>
    <x:font>
      <x:b/>
      <x:sz val="10"/>
      <x:color rgb="FF6F5200"/>
      <x:name val="Arial"/>
    </x:font>
    <x:font>
      <x:sz val="10"/>
      <x:name val="Arial"/>
    </x:font>
    <x:font>
      <x:sz val="10"/>
      <x:color rgb="FF17384A"/>
      <x:name val="Arial"/>
    </x:font>
    <x:font>
      <x:b/>
      <x:sz val="15"/>
      <x:color rgb="FF17384A"/>
      <x:name val="Arial"/>
    </x:font>
    <x:font>
      <x:b/>
      <x:sz val="14"/>
      <x:color rgb="FF17384A"/>
      <x:name val="Arial"/>
    </x:font>
    <x:font>
      <x:sz val="11"/>
      <x:color rgb="FF17384A"/>
      <x:name val="Arial"/>
    </x:font>
    <x:font>
      <x:b/>
      <x:sz val="11"/>
      <x:color rgb="FFFFFFFF"/>
      <x:name val="Arial"/>
    </x:font>
    <x:font>
      <x:b/>
      <x:sz val="11"/>
      <x:color rgb="FF17384A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FFF2D3"/>
      </x:patternFill>
    </x:fill>
    <x:fill>
      <x:patternFill patternType="solid">
        <x:fgColor rgb="FF173E58"/>
      </x:patternFill>
    </x:fill>
    <x:fill>
      <x:patternFill patternType="solid">
        <x:fgColor rgb="FFE8F2F6"/>
      </x:patternFill>
    </x:fill>
    <x:fill>
      <x:patternFill patternType="solid">
        <x:fgColor rgb="FFF3F7FA"/>
      </x:patternFill>
    </x:fill>
  </x:fills>
  <x:borders count="13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2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/>
    <x:xf numFmtId="202" fontId="5" fillId="5" borderId="0" xfId="0" applyNumberFormat="1" applyFont="1" applyFill="1" applyBorder="1"/>
    <x:xf numFmtId="0" fontId="5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200" fontId="6" fillId="6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200" fontId="7" fillId="7" borderId="0" xfId="0" applyNumberFormat="1" applyFont="1" applyFill="1" applyBorder="1" applyAlignment="1">
      <x:alignment horizontal="center" vertical="center"/>
    </x:xf>
    <x:xf numFmtId="203" fontId="7" fillId="7" borderId="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/>
    <x:xf numFmtId="0" fontId="9" fillId="7" borderId="4" xfId="0" applyNumberFormat="1" applyFont="1" applyFill="1" applyBorder="1"/>
    <x:xf numFmtId="0" fontId="9" fillId="7" borderId="5" xfId="0" applyNumberFormat="1" applyFont="1" applyFill="1" applyBorder="1"/>
    <x:xf numFmtId="0" fontId="9" fillId="7" borderId="6" xfId="0" applyNumberFormat="1" applyFont="1" applyFill="1" applyBorder="1"/>
    <x:xf numFmtId="0" fontId="9" fillId="7" borderId="7" xfId="0" applyNumberFormat="1" applyFont="1" applyFill="1" applyBorder="1"/>
    <x:xf numFmtId="201" fontId="9" fillId="7" borderId="4" xfId="0" applyNumberFormat="1" applyFont="1" applyFill="1" applyBorder="1"/>
    <x:xf numFmtId="201" fontId="9" fillId="7" borderId="5" xfId="0" applyNumberFormat="1" applyFont="1" applyFill="1" applyBorder="1"/>
    <x:xf numFmtId="201" fontId="9" fillId="7" borderId="6" xfId="0" applyNumberFormat="1" applyFont="1" applyFill="1" applyBorder="1"/>
    <x:xf numFmtId="201" fontId="9" fillId="7" borderId="7" xfId="0" applyNumberFormat="1" applyFont="1" applyFill="1" applyBorder="1"/>
    <x:xf numFmtId="201" fontId="9" fillId="7" borderId="4" xfId="0" applyNumberFormat="1" applyFont="1" applyFill="1" applyBorder="1" applyAlignment="1">
      <x:alignment horizontal="center"/>
    </x:xf>
    <x:xf numFmtId="201" fontId="9" fillId="7" borderId="5" xfId="0" applyNumberFormat="1" applyFont="1" applyFill="1" applyBorder="1" applyAlignment="1">
      <x:alignment horizontal="center"/>
    </x:xf>
    <x:xf numFmtId="201" fontId="9" fillId="7" borderId="6" xfId="0" applyNumberFormat="1" applyFont="1" applyFill="1" applyBorder="1" applyAlignment="1">
      <x:alignment horizontal="center"/>
    </x:xf>
    <x:xf numFmtId="201" fontId="9" fillId="7" borderId="7" xfId="0" applyNumberFormat="1" applyFont="1" applyFill="1" applyBorder="1" applyAlignment="1">
      <x:alignment horizontal="center"/>
    </x:xf>
    <x:xf numFmtId="201" fontId="9" fillId="7" borderId="4" xfId="0" applyNumberFormat="1" applyFont="1" applyFill="1" applyBorder="1" applyAlignment="1">
      <x:alignment horizontal="center" vertical="center"/>
    </x:xf>
    <x:xf numFmtId="201" fontId="9" fillId="7" borderId="5" xfId="0" applyNumberFormat="1" applyFont="1" applyFill="1" applyBorder="1" applyAlignment="1">
      <x:alignment horizontal="center" vertical="center"/>
    </x:xf>
    <x:xf numFmtId="201" fontId="9" fillId="7" borderId="6" xfId="0" applyNumberFormat="1" applyFont="1" applyFill="1" applyBorder="1" applyAlignment="1">
      <x:alignment horizontal="center" vertical="center"/>
    </x:xf>
    <x:xf numFmtId="201" fontId="9" fillId="7" borderId="7" xfId="0" applyNumberFormat="1" applyFont="1" applyFill="1" applyBorder="1" applyAlignment="1">
      <x:alignment horizontal="center" vertical="center"/>
    </x:xf>
    <x:xf numFmtId="202" fontId="9" fillId="7" borderId="4" xfId="0" applyNumberFormat="1" applyFont="1" applyFill="1" applyBorder="1"/>
    <x:xf numFmtId="202" fontId="9" fillId="7" borderId="5" xfId="0" applyNumberFormat="1" applyFont="1" applyFill="1" applyBorder="1"/>
    <x:xf numFmtId="202" fontId="9" fillId="7" borderId="6" xfId="0" applyNumberFormat="1" applyFont="1" applyFill="1" applyBorder="1"/>
    <x:xf numFmtId="202" fontId="9" fillId="7" borderId="7" xfId="0" applyNumberFormat="1" applyFont="1" applyFill="1" applyBorder="1"/>
    <x:xf numFmtId="202" fontId="9" fillId="7" borderId="4" xfId="0" applyNumberFormat="1" applyFont="1" applyFill="1" applyBorder="1" applyAlignment="1">
      <x:alignment horizontal="center"/>
    </x:xf>
    <x:xf numFmtId="202" fontId="9" fillId="7" borderId="5" xfId="0" applyNumberFormat="1" applyFont="1" applyFill="1" applyBorder="1" applyAlignment="1">
      <x:alignment horizontal="center"/>
    </x:xf>
    <x:xf numFmtId="202" fontId="9" fillId="7" borderId="6" xfId="0" applyNumberFormat="1" applyFont="1" applyFill="1" applyBorder="1" applyAlignment="1">
      <x:alignment horizontal="center"/>
    </x:xf>
    <x:xf numFmtId="202" fontId="9" fillId="7" borderId="7" xfId="0" applyNumberFormat="1" applyFont="1" applyFill="1" applyBorder="1" applyAlignment="1">
      <x:alignment horizontal="center"/>
    </x:xf>
    <x:xf numFmtId="202" fontId="9" fillId="7" borderId="4" xfId="0" applyNumberFormat="1" applyFont="1" applyFill="1" applyBorder="1" applyAlignment="1">
      <x:alignment horizontal="center" vertical="center"/>
    </x:xf>
    <x:xf numFmtId="202" fontId="9" fillId="7" borderId="5" xfId="0" applyNumberFormat="1" applyFont="1" applyFill="1" applyBorder="1" applyAlignment="1">
      <x:alignment horizontal="center" vertical="center"/>
    </x:xf>
    <x:xf numFmtId="202" fontId="9" fillId="7" borderId="6" xfId="0" applyNumberFormat="1" applyFont="1" applyFill="1" applyBorder="1" applyAlignment="1">
      <x:alignment horizontal="center" vertical="center"/>
    </x:xf>
    <x:xf numFmtId="202" fontId="9" fillId="7" borderId="7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/>
    <x:xf numFmtId="202" fontId="1" fillId="6" borderId="0" xfId="0" applyNumberFormat="1" applyFont="1" applyFill="1" applyBorder="1"/>
    <x:xf numFmtId="0" fontId="1" fillId="6" borderId="8" xfId="0" applyNumberFormat="1" applyFont="1" applyFill="1" applyBorder="1"/>
    <x:xf numFmtId="0" fontId="1" fillId="6" borderId="9" xfId="0" applyNumberFormat="1" applyFont="1" applyFill="1" applyBorder="1"/>
    <x:xf numFmtId="202" fontId="1" fillId="6" borderId="9" xfId="0" applyNumberFormat="1" applyFont="1" applyFill="1" applyBorder="1"/>
    <x:xf numFmtId="0" fontId="1" fillId="6" borderId="10" xfId="0" applyNumberFormat="1" applyFont="1" applyFill="1" applyBorder="1"/>
    <x:xf numFmtId="0" fontId="1" fillId="6" borderId="8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wrapText="1"/>
    </x:xf>
    <x:xf numFmtId="202" fontId="1" fillId="6" borderId="9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202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202" fontId="1" fillId="6" borderId="8" xfId="0" applyNumberFormat="1" applyFont="1" applyFill="1" applyBorder="1"/>
    <x:xf numFmtId="202" fontId="1" fillId="6" borderId="10" xfId="0" applyNumberFormat="1" applyFont="1" applyFill="1" applyBorder="1"/>
    <x:xf numFmtId="200" fontId="1" fillId="6" borderId="8" xfId="0" applyNumberFormat="1" applyFont="1" applyFill="1" applyBorder="1" applyAlignment="1">
      <x:alignment vertical="center" wrapText="1"/>
    </x:xf>
    <x:xf numFmtId="200" fontId="1" fillId="6" borderId="9" xfId="0" applyNumberFormat="1" applyFont="1" applyFill="1" applyBorder="1" applyAlignment="1">
      <x:alignment vertical="center" wrapText="1"/>
    </x:xf>
    <x:xf numFmtId="200" fontId="1" fillId="6" borderId="10" xfId="0" applyNumberFormat="1" applyFont="1" applyFill="1" applyBorder="1" applyAlignment="1">
      <x:alignment vertical="center" wrapText="1"/>
    </x:xf>
    <x:xf numFmtId="202" fontId="1" fillId="6" borderId="8" xfId="0" applyNumberFormat="1" applyFont="1" applyFill="1" applyBorder="1" applyAlignment="1">
      <x:alignment vertical="center" wrapText="1"/>
    </x:xf>
    <x:xf numFmtId="202" fontId="1" fillId="6" borderId="1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4" xfId="0" applyNumberFormat="1" applyFont="1" applyFill="1" applyBorder="1"/>
    <x:xf numFmtId="0" fontId="10" fillId="3" borderId="10" xfId="0" applyNumberFormat="1" applyFont="1" applyFill="1" applyBorder="1"/>
    <x:xf numFmtId="0" fontId="10" fillId="3" borderId="5" xfId="0" applyNumberFormat="1" applyFont="1" applyFill="1" applyBorder="1"/>
    <x:xf numFmtId="0" fontId="10" fillId="3" borderId="11" xfId="0" applyNumberFormat="1" applyFont="1" applyFill="1" applyBorder="1"/>
    <x:xf numFmtId="0" fontId="10" fillId="3" borderId="12" xfId="0" applyNumberFormat="1" applyFont="1" applyFill="1" applyBorder="1"/>
    <x:xf numFmtId="0" fontId="10" fillId="3" borderId="6" xfId="0" applyNumberFormat="1" applyFont="1" applyFill="1" applyBorder="1"/>
    <x:xf numFmtId="0" fontId="10" fillId="3" borderId="8" xfId="0" applyNumberFormat="1" applyFont="1" applyFill="1" applyBorder="1"/>
    <x:xf numFmtId="0" fontId="10" fillId="3" borderId="7" xfId="0" applyNumberFormat="1" applyFont="1" applyFill="1" applyBorder="1"/>
    <x:xf numFmtId="0" fontId="10" fillId="3" borderId="4" xfId="0" applyNumberFormat="1" applyFont="1" applyFill="1" applyBorder="1" applyAlignment="1">
      <x:alignment wrapText="1"/>
    </x:xf>
    <x:xf numFmtId="0" fontId="10" fillId="3" borderId="10" xfId="0" applyNumberFormat="1" applyFont="1" applyFill="1" applyBorder="1" applyAlignment="1">
      <x:alignment wrapText="1"/>
    </x:xf>
    <x:xf numFmtId="0" fontId="10" fillId="3" borderId="5" xfId="0" applyNumberFormat="1" applyFont="1" applyFill="1" applyBorder="1" applyAlignment="1">
      <x:alignment wrapText="1"/>
    </x:xf>
    <x:xf numFmtId="0" fontId="10" fillId="3" borderId="11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wrapText="1"/>
    </x:xf>
    <x:xf numFmtId="0" fontId="10" fillId="3" borderId="12" xfId="0" applyNumberFormat="1" applyFont="1" applyFill="1" applyBorder="1" applyAlignment="1">
      <x:alignment wrapText="1"/>
    </x:xf>
    <x:xf numFmtId="0" fontId="10" fillId="3" borderId="6" xfId="0" applyNumberFormat="1" applyFont="1" applyFill="1" applyBorder="1" applyAlignment="1">
      <x:alignment wrapText="1"/>
    </x:xf>
    <x:xf numFmtId="0" fontId="10" fillId="3" borderId="8" xfId="0" applyNumberFormat="1" applyFont="1" applyFill="1" applyBorder="1" applyAlignment="1">
      <x:alignment wrapText="1"/>
    </x:xf>
    <x:xf numFmtId="0" fontId="10" fillId="3" borderId="7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vertical="center" wrapText="1"/>
    </x:xf>
    <x:xf numFmtId="0" fontId="10" fillId="3" borderId="10" xfId="0" applyNumberFormat="1" applyFont="1" applyFill="1" applyBorder="1" applyAlignment="1">
      <x:alignment vertical="center" wrapText="1"/>
    </x:xf>
    <x:xf numFmtId="0" fontId="10" fillId="3" borderId="5" xfId="0" applyNumberFormat="1" applyFont="1" applyFill="1" applyBorder="1" applyAlignment="1">
      <x:alignment vertical="center" wrapText="1"/>
    </x:xf>
    <x:xf numFmtId="0" fontId="10" fillId="3" borderId="11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2" xfId="0" applyNumberFormat="1" applyFont="1" applyFill="1" applyBorder="1" applyAlignment="1">
      <x:alignment vertical="center" wrapText="1"/>
    </x:xf>
    <x:xf numFmtId="0" fontId="10" fillId="3" borderId="6" xfId="0" applyNumberFormat="1" applyFont="1" applyFill="1" applyBorder="1" applyAlignment="1">
      <x:alignment vertical="center" wrapText="1"/>
    </x:xf>
    <x:xf numFmtId="0" fontId="10" fillId="3" borderId="8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4" xfId="0" applyNumberFormat="1" applyFont="1" applyFill="1" applyBorder="1"/>
    <x:xf numFmtId="0" fontId="11" fillId="5" borderId="10" xfId="0" applyNumberFormat="1" applyFont="1" applyFill="1" applyBorder="1"/>
    <x:xf numFmtId="0" fontId="11" fillId="5" borderId="5" xfId="0" applyNumberFormat="1" applyFont="1" applyFill="1" applyBorder="1"/>
    <x:xf numFmtId="0" fontId="11" fillId="5" borderId="11" xfId="0" applyNumberFormat="1" applyFont="1" applyFill="1" applyBorder="1"/>
    <x:xf numFmtId="0" fontId="11" fillId="5" borderId="12" xfId="0" applyNumberFormat="1" applyFont="1" applyFill="1" applyBorder="1"/>
    <x:xf numFmtId="0" fontId="11" fillId="5" borderId="6" xfId="0" applyNumberFormat="1" applyFont="1" applyFill="1" applyBorder="1"/>
    <x:xf numFmtId="0" fontId="11" fillId="5" borderId="8" xfId="0" applyNumberFormat="1" applyFont="1" applyFill="1" applyBorder="1"/>
    <x:xf numFmtId="0" fontId="11" fillId="5" borderId="7" xfId="0" applyNumberFormat="1" applyFont="1" applyFill="1" applyBorder="1"/>
    <x:xf numFmtId="0" fontId="11" fillId="5" borderId="4" xfId="0" applyNumberFormat="1" applyFont="1" applyFill="1" applyBorder="1" applyAlignment="1">
      <x:alignment wrapText="1"/>
    </x:xf>
    <x:xf numFmtId="0" fontId="11" fillId="5" borderId="10" xfId="0" applyNumberFormat="1" applyFont="1" applyFill="1" applyBorder="1" applyAlignment="1">
      <x:alignment wrapText="1"/>
    </x:xf>
    <x:xf numFmtId="0" fontId="11" fillId="5" borderId="5" xfId="0" applyNumberFormat="1" applyFont="1" applyFill="1" applyBorder="1" applyAlignment="1">
      <x:alignment wrapText="1"/>
    </x:xf>
    <x:xf numFmtId="0" fontId="11" fillId="5" borderId="11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wrapText="1"/>
    </x:xf>
    <x:xf numFmtId="0" fontId="11" fillId="5" borderId="12" xfId="0" applyNumberFormat="1" applyFont="1" applyFill="1" applyBorder="1" applyAlignment="1">
      <x:alignment wrapText="1"/>
    </x:xf>
    <x:xf numFmtId="0" fontId="11" fillId="5" borderId="6" xfId="0" applyNumberFormat="1" applyFont="1" applyFill="1" applyBorder="1" applyAlignment="1">
      <x:alignment wrapText="1"/>
    </x:xf>
    <x:xf numFmtId="0" fontId="11" fillId="5" borderId="8" xfId="0" applyNumberFormat="1" applyFont="1" applyFill="1" applyBorder="1" applyAlignment="1">
      <x:alignment wrapText="1"/>
    </x:xf>
    <x:xf numFmtId="0" fontId="11" fillId="5" borderId="7" xfId="0" applyNumberFormat="1" applyFont="1" applyFill="1" applyBorder="1" applyAlignment="1">
      <x:alignment wrapText="1"/>
    </x:xf>
    <x:xf numFmtId="0" fontId="11" fillId="5" borderId="4" xfId="0" applyNumberFormat="1" applyFont="1" applyFill="1" applyBorder="1" applyAlignment="1">
      <x:alignment vertical="center" wrapText="1"/>
    </x:xf>
    <x:xf numFmtId="0" fontId="11" fillId="5" borderId="10" xfId="0" applyNumberFormat="1" applyFont="1" applyFill="1" applyBorder="1" applyAlignment="1">
      <x:alignment vertical="center" wrapText="1"/>
    </x:xf>
    <x:xf numFmtId="0" fontId="11" fillId="5" borderId="5" xfId="0" applyNumberFormat="1" applyFont="1" applyFill="1" applyBorder="1" applyAlignment="1">
      <x:alignment vertical="center" wrapText="1"/>
    </x:xf>
    <x:xf numFmtId="0" fontId="11" fillId="5" borderId="11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2" xfId="0" applyNumberFormat="1" applyFont="1" applyFill="1" applyBorder="1" applyAlignment="1">
      <x:alignment vertical="center" wrapText="1"/>
    </x:xf>
    <x:xf numFmtId="0" fontId="11" fillId="5" borderId="6" xfId="0" applyNumberFormat="1" applyFont="1" applyFill="1" applyBorder="1" applyAlignment="1">
      <x:alignment vertical="center" wrapText="1"/>
    </x:xf>
    <x:xf numFmtId="0" fontId="11" fillId="5" borderId="8" xfId="0" applyNumberFormat="1" applyFont="1" applyFill="1" applyBorder="1" applyAlignment="1">
      <x:alignment vertical="center" wrapText="1"/>
    </x:xf>
    <x:xf numFmtId="0" fontId="11" fillId="5" borderId="7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0" fillId="8" borderId="0" xfId="0" applyNumberFormat="1" applyFont="1" applyFill="1" applyBorder="1"/>
    <x:xf numFmtId="200" fontId="0" fillId="8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8" borderId="0" xfId="0" applyNumberFormat="1" applyFont="1" applyFill="1" applyBorder="1"/>
    <x:xf numFmtId="200" fontId="12" fillId="8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8" borderId="0" xfId="0" applyNumberFormat="1" applyFont="1" applyFill="1" applyBorder="1" applyAlignment="1">
      <x:alignment wrapText="1"/>
    </x:xf>
    <x:xf numFmtId="200" fontId="12" fillId="8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201" fontId="5" fillId="5" borderId="0" xfId="0" applyNumberFormat="1" applyFont="1" applyFill="1" applyBorder="1" applyAlignment="1">
      <x:alignment vertical="center" wrapText="1"/>
    </x:xf>
    <x:xf numFmtId="202" fontId="5" fillId="5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2" fontId="6" fillId="6" borderId="0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horizontal="center" wrapText="1"/>
    </x:xf>
    <x:xf numFmtId="0" fontId="4" fillId="9" borderId="0" xfId="0" applyNumberFormat="1" applyFont="1" applyFill="1" applyBorder="1" applyAlignment="1">
      <x:alignment horizontal="center"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202" fontId="5" fillId="5" borderId="0" xfId="0" applyNumberFormat="1" applyFont="1" applyFill="1" applyBorder="1" applyAlignment="1">
      <x:alignment wrapText="1"/>
    </x:xf>
    <x:xf numFmtId="202" fontId="6" fillId="6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13" fillId="9" borderId="0" xfId="0" applyNumberFormat="1" applyFont="1" applyFill="1" applyBorder="1" applyAlignment="1">
      <x:alignment vertical="center"/>
    </x:xf>
    <x:xf numFmtId="0" fontId="8" fillId="9" borderId="0" xfId="0" applyNumberFormat="1" applyFont="1" applyFill="1" applyBorder="1" applyAlignment="1">
      <x:alignment vertical="center"/>
    </x:xf>
    <x:xf numFmtId="0" fontId="8" fillId="9" borderId="0" xfId="0" applyNumberFormat="1" applyFont="1" applyFill="1" applyBorder="1" applyAlignment="1">
      <x:alignment vertical="center" wrapText="1"/>
    </x:xf>
    <x:xf numFmtId="0" fontId="13" fillId="10" borderId="0" xfId="0" applyNumberFormat="1" applyFont="1" applyFill="1" applyBorder="1" applyAlignment="1">
      <x:alignment vertical="center"/>
    </x:xf>
    <x:xf numFmtId="0" fontId="15" fillId="10" borderId="0" xfId="0" applyNumberFormat="1" applyFont="1" applyFill="1" applyBorder="1" applyAlignment="1">
      <x:alignment vertical="center"/>
    </x:xf>
    <x:xf numFmtId="0" fontId="15" fillId="10" borderId="0" xfId="0" applyNumberFormat="1" applyFont="1" applyFill="1" applyBorder="1" applyAlignment="1">
      <x:alignment horizontal="right" vertical="center"/>
    </x:xf>
    <x:xf numFmtId="204" fontId="15" fillId="10" borderId="0" xfId="0" applyNumberFormat="1" applyFont="1" applyFill="1" applyBorder="1" applyAlignment="1">
      <x:alignment horizontal="right" vertical="center"/>
    </x:xf>
    <x:xf numFmtId="0" fontId="13" fillId="0" borderId="0" xfId="0" applyNumberFormat="1" applyFont="1" applyFill="1" applyBorder="1" applyAlignment="1">
      <x:alignment vertical="center" wrapText="1"/>
    </x:xf>
    <x:xf numFmtId="0" fontId="4" fillId="9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 wrapText="1"/>
    </x:xf>
    <x:xf numFmtId="200" fontId="13" fillId="11" borderId="0" xfId="0" applyNumberFormat="1" applyFont="1" applyFill="1" applyBorder="1" applyAlignment="1">
      <x:alignment vertical="center" wrapText="1"/>
    </x:xf>
    <x:xf numFmtId="204" fontId="13" fillId="11" borderId="0" xfId="0" applyNumberFormat="1" applyFont="1" applyFill="1" applyBorder="1" applyAlignment="1">
      <x:alignment vertical="center" wrapText="1"/>
    </x:xf>
    <x:xf numFmtId="205" fontId="13" fillId="0" borderId="0" xfId="0" applyNumberFormat="1" applyFont="1" applyFill="1" applyBorder="1" applyAlignment="1">
      <x:alignment vertical="center" wrapText="1"/>
    </x:xf>
    <x:xf numFmtId="0" fontId="5" fillId="10" borderId="0" xfId="0" applyNumberFormat="1" applyFont="1" applyFill="1" applyBorder="1" applyAlignment="1">
      <x:alignment wrapText="1"/>
    </x:xf>
    <x:xf numFmtId="0" fontId="13" fillId="1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7" fillId="9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vertical="center" wrapText="1"/>
    </x:xf>
    <x:xf numFmtId="0" fontId="1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5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173D2B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C2727"/>
      </x:font>
      <x:fill>
        <x:patternFill patternType="solid">
          <x:bgColor rgb="FFFCE4E1"/>
        </x:patternFill>
      </x:fill>
    </x:dxf>
    <x:dxf>
      <x:font>
        <x:b/>
        <x:color rgb="FF9C2727"/>
      </x:font>
      <x:fill>
        <x:patternFill patternType="solid">
          <x:bgColor rgb="FFFCE4E1"/>
        </x:patternFill>
      </x:fill>
    </x:dxf>
    <x:dxf>
      <x:font>
        <x:b/>
        <x:color rgb="FF9C2727"/>
      </x:font>
      <x:fill>
        <x:patternFill patternType="solid">
          <x:bgColor rgb="FFFCE4E1"/>
        </x:patternFill>
      </x:fill>
    </x:dxf>
    <x:dxf>
      <x:font>
        <x:b/>
        <x:color rgb="FF9C2727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bfef689f5469f" /><Relationship Type="http://schemas.openxmlformats.org/officeDocument/2006/relationships/theme" Target="/xl/theme/theme1.xml" Id="Ra97653706ccc423a" /><Relationship Type="http://schemas.openxmlformats.org/officeDocument/2006/relationships/sharedStrings" Target="/xl/sharedStrings.xml" Id="R9c8883712c8c48df" /><Relationship Type="http://schemas.openxmlformats.org/officeDocument/2006/relationships/worksheet" Target="/xl/worksheets/sheet1.xml" Id="R3d117aaa6bdd4c0f" /><Relationship Type="http://schemas.openxmlformats.org/officeDocument/2006/relationships/worksheet" Target="/xl/worksheets/sheet2.xml" Id="R44350786089d4ab7" /><Relationship Type="http://schemas.openxmlformats.org/officeDocument/2006/relationships/worksheet" Target="/xl/worksheets/sheet3.xml" Id="R5f625016ee9f46cc" /><Relationship Type="http://schemas.openxmlformats.org/officeDocument/2006/relationships/worksheet" Target="/xl/worksheets/sheet4.xml" Id="Ra4dcb9e51fa34dd2" /><Relationship Type="http://schemas.openxmlformats.org/officeDocument/2006/relationships/worksheet" Target="/xl/worksheets/sheet5.xml" Id="R674c89c0bde44287" /><Relationship Type="http://schemas.openxmlformats.org/officeDocument/2006/relationships/worksheet" Target="/xl/worksheets/sheet6.xml" Id="Rf10d0306ec8a40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736c9e6b8314f2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Composição do valor físico (R$)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Valor físico (R$)</c:v>
          </c:tx>
          <c:spPr>
            <a:solidFill xmlns:a="http://schemas.openxmlformats.org/drawingml/2006/main">
              <a:srgbClr val="23647C"/>
            </a:solidFill>
          </c:spPr>
          <c:invertIfNegative val="0"/>
          <c:cat>
            <c:strRef>
              <c:f>'Dashboard'!$P$11:$P$14</c:f>
              <c:strCache>
                <c:ptCount val="0"/>
              </c:strCache>
            </c:strRef>
          </c:cat>
          <c:val>
            <c:numRef>
              <c:f>'Dashboard'!$Q$11:$Q$14</c:f>
              <c:numCache>
                <c:formatCode>"R$"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10</xdr:row>
      <xdr:rowOff>0</xdr:rowOff>
    </xdr:from>
    <xdr:to>
      <xdr:col>8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36c9e6b8314f2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4" name="ProdutosTable" displayName="ProdutosTable" ref="A4:T204" headerRowCount="1" totalsRowCount="0" totalsRowShown="0">
  <x:tableColumns count="20">
    <x:tableColumn id="1" name="SKU"/>
    <x:tableColumn id="2" name="Produto"/>
    <x:tableColumn id="3" name="Categoria"/>
    <x:tableColumn id="4" name="Unidade"/>
    <x:tableColumn id="5" name="Local"/>
    <x:tableColumn id="6" name="Estoque mínimo"/>
    <x:tableColumn id="7" name="Custo padrão"/>
    <x:tableColumn id="8" name="Status"/>
    <x:tableColumn id="9" name="Saldo atual"/>
    <x:tableColumn id="10" name="Valor em estoque"/>
    <x:tableColumn id="11" name="Lotes com saldo"/>
    <x:tableColumn id="12" name="Lotes vencidos"/>
    <x:tableColumn id="13" name="Vence na janela"/>
    <x:tableColumn id="14" name="Alerta reposição"/>
    <x:tableColumn id="15" name="Observação"/>
    <x:tableColumn id="16" name="Pendência do cadastro"/>
    <x:tableColumn id="17" name="Saldo utilizável"/>
    <x:tableColumn id="18" name="Linha pendente"/>
    <x:tableColumn id="19" name="No contexto"/>
    <x:tableColumn id="20" name="Ordem no context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5" name="LotesTable" displayName="LotesTable" ref="A4:AH204" headerRowCount="1" totalsRowCount="0" totalsRowShown="0">
  <x:tableColumns count="34">
    <x:tableColumn id="1" name="Lote"/>
    <x:tableColumn id="2" name="SKU"/>
    <x:tableColumn id="3" name="Produto"/>
    <x:tableColumn id="4" name="Fornecedor"/>
    <x:tableColumn id="5" name="Recebimento"/>
    <x:tableColumn id="6" name="Fabricação"/>
    <x:tableColumn id="7" name="Validade"/>
    <x:tableColumn id="8" name="Dias para vencer"/>
    <x:tableColumn id="9" name="Recebimento informado"/>
    <x:tableColumn id="10" name="Saldo do lote"/>
    <x:tableColumn id="11" name="Custo unitário"/>
    <x:tableColumn id="12" name="Valor em estoque"/>
    <x:tableColumn id="13" name="Status do lote"/>
    <x:tableColumn id="14" name="Situação da validade"/>
    <x:tableColumn id="15" name="Validade FEFO elegível"/>
    <x:tableColumn id="16" name="Ação sugerida"/>
    <x:tableColumn id="17" name="Documento"/>
    <x:tableColumn id="18" name="Valor em risco"/>
    <x:tableColumn id="19" name="Pendência do lote"/>
    <x:tableColumn id="20" name="Movimentos inválidos"/>
    <x:tableColumn id="21" name="Linha pendente"/>
    <x:tableColumn id="22" name="Saldo utilizável"/>
    <x:tableColumn id="23" name="Valor utilizável"/>
    <x:tableColumn id="24" name="No contexto"/>
    <x:tableColumn id="25" name="Motivos da prioridade"/>
    <x:tableColumn id="26" name="Prioridade"/>
    <x:tableColumn id="27" name="Ordem no contexto"/>
    <x:tableColumn id="28" name="Responsável (entrada)"/>
    <x:tableColumn id="29" name="Próxima ação (entrada)"/>
    <x:tableColumn id="30" name="Prazo da ação (entrada)"/>
    <x:tableColumn id="31" name="Grupo do gráfico"/>
    <x:tableColumn id="32" name="Identificação no painel"/>
    <x:tableColumn id="33" name="Pendência da ação"/>
    <x:tableColumn id="34" name="Prazo pendente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6" name="MovimentacoesTable" displayName="MovimentacoesTable" ref="A4:Q304" headerRowCount="1" totalsRowCount="0" totalsRowShown="0">
  <x:tableColumns count="17">
    <x:tableColumn id="1" name="ID"/>
    <x:tableColumn id="2" name="Data"/>
    <x:tableColumn id="3" name="Tipo"/>
    <x:tableColumn id="4" name="Lote"/>
    <x:tableColumn id="5" name="SKU"/>
    <x:tableColumn id="6" name="Produto"/>
    <x:tableColumn id="7" name="Quantidade"/>
    <x:tableColumn id="8" name="Impacto no saldo"/>
    <x:tableColumn id="9" name="Custo unitário"/>
    <x:tableColumn id="10" name="Valor movimentado"/>
    <x:tableColumn id="11" name="Motivo"/>
    <x:tableColumn id="12" name="Documento"/>
    <x:tableColumn id="13" name="Responsável"/>
    <x:tableColumn id="14" name="Observação"/>
    <x:tableColumn id="15" name="Pendência do movimento"/>
    <x:tableColumn id="16" name="Linha pendente"/>
    <x:tableColumn id="17" name="No context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024f552f17f41c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b7c3881a38d42f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2b68ad8a08d4e1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565fc1ac34d493f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2" customHeight="1">
      <x:c r="A1" s="184"/>
      <x:c r="B1" s="184"/>
      <x:c r="C1" s="184"/>
      <x:c r="D1" s="184"/>
      <x:c r="E1" s="184"/>
      <x:c r="F1" s="184"/>
      <x:c r="G1" s="184"/>
      <x:c r="H1" s="184"/>
      <x:c r="I1" s="184"/>
      <x:c r="J1" s="184"/>
      <x:c r="K1" s="184"/>
      <x:c r="L1" s="184"/>
      <x:c r="M1" s="184"/>
      <x:c r="N1" s="184"/>
      <x:c r="O1"/>
      <x:c r="P1"/>
      <x:c r="Q1"/>
      <x:c r="R1"/>
      <x:c r="S1"/>
      <x:c r="T1"/>
      <x:c r="U1"/>
      <x:c r="V1" s="1"/>
      <x:c r="W1" s="1"/>
    </x:row>
    <x:row r="2" ht="30" customHeight="1">
      <x:c r="A2" s="185" t="str">
        <x:v>Lotes e validades: disponibilidade e próximas ações</x:v>
      </x:c>
      <x:c r="B2" s="185"/>
      <x:c r="C2" s="185"/>
      <x:c r="D2" s="185"/>
      <x:c r="E2" s="185"/>
      <x:c r="F2" s="185"/>
      <x:c r="G2" s="185"/>
      <x:c r="H2" s="185"/>
      <x:c r="I2" s="185"/>
      <x:c r="J2" s="185"/>
      <x:c r="K2" s="185"/>
      <x:c r="L2" s="185"/>
      <x:c r="M2" s="185"/>
      <x:c r="N2" s="185"/>
      <x:c r="O2"/>
      <x:c r="P2"/>
      <x:c r="Q2"/>
      <x:c r="R2"/>
      <x:c r="S2"/>
      <x:c r="T2"/>
      <x:c r="U2"/>
      <x:c r="V2" s="1"/>
      <x:c r="W2" s="1"/>
    </x:row>
    <x:row r="3" ht="22" customHeight="1">
      <x:c r="A3" s="184" t="str">
        <x:f>IF(Listas!B13&lt;&gt;"OK","Revisar parâmetros em Listas","Análise: "&amp;TEXT(Listas!B6,"dd/mm/yyyy")&amp;". SKU: "&amp;Listas!B19&amp;". Seleção em Listas B19.")</x:f>
        <x:v>Análise: 29/09/2026. SKU: Todos. Seleção em Listas B19.</x:v>
      </x:c>
      <x:c r="B3" s="184"/>
      <x:c r="C3" s="184"/>
      <x:c r="D3" s="184"/>
      <x:c r="E3" s="184"/>
      <x:c r="F3" s="184"/>
      <x:c r="G3" s="184"/>
      <x:c r="H3" s="184"/>
      <x:c r="I3" s="184"/>
      <x:c r="J3" s="184"/>
      <x:c r="K3" s="184"/>
      <x:c r="L3" s="184"/>
      <x:c r="M3" s="184"/>
      <x:c r="N3" s="184"/>
      <x:c r="O3"/>
      <x:c r="P3"/>
      <x:c r="Q3"/>
      <x:c r="R3"/>
      <x:c r="S3"/>
      <x:c r="T3"/>
      <x:c r="U3"/>
      <x:c r="V3" s="1"/>
      <x:c r="W3" s="1"/>
    </x:row>
    <x:row r="4" ht="22" customHeight="1">
      <x:c r="A4" s="184"/>
      <x:c r="B4" s="184"/>
      <x:c r="C4" s="184"/>
      <x:c r="D4" s="184"/>
      <x:c r="E4" s="184"/>
      <x:c r="F4" s="184"/>
      <x:c r="G4" s="184"/>
      <x:c r="H4" s="184"/>
      <x:c r="I4" s="184"/>
      <x:c r="J4" s="184"/>
      <x:c r="K4" s="184"/>
      <x:c r="L4" s="184"/>
      <x:c r="M4" s="184"/>
      <x:c r="N4" s="184"/>
      <x:c r="O4"/>
      <x:c r="P4"/>
      <x:c r="Q4"/>
      <x:c r="R4"/>
      <x:c r="S4"/>
      <x:c r="T4"/>
      <x:c r="U4"/>
      <x:c r="V4" s="1"/>
      <x:c r="W4" s="1"/>
    </x:row>
    <x:row r="5" ht="32" customHeight="1">
      <x:c r="A5" s="188" t="str">
        <x:v>LOTES COM SALDO</x:v>
      </x:c>
      <x:c r="B5" s="188"/>
      <x:c r="C5" s="188" t="str">
        <x:v>VALOR FÍSICO (R$)</x:v>
      </x:c>
      <x:c r="D5" s="188"/>
      <x:c r="E5" s="188" t="str">
        <x:v>VALOR UTILIZÁVEL (R$)</x:v>
      </x:c>
      <x:c r="F5" s="188"/>
      <x:c r="G5" s="188" t="str">
        <x:v>VALOR EM RISCO (R$)</x:v>
      </x:c>
      <x:c r="H5" s="188"/>
      <x:c r="I5" s="188" t="str">
        <x:v>VENCE NA JANELA</x:v>
      </x:c>
      <x:c r="J5" s="188"/>
      <x:c r="K5" s="184"/>
      <x:c r="L5" s="188" t="str">
        <x:v>PENDÊNCIAS</x:v>
      </x:c>
      <x:c r="M5" s="188"/>
      <x:c r="N5" s="188"/>
      <x:c r="O5"/>
      <x:c r="P5"/>
      <x:c r="Q5"/>
      <x:c r="R5"/>
      <x:c r="S5"/>
      <x:c r="T5"/>
      <x:c r="U5"/>
      <x:c r="V5" s="1"/>
      <x:c r="W5" s="1"/>
    </x:row>
    <x:row r="6" ht="22" customHeight="1">
      <x:c r="A6" s="191" t="n">
        <x:f>IF(Listas!$B$23&gt;0,"n.a.",COUNTIFS(Lotes!J5:J204,"&gt;0",Lotes!X5:X204,1))</x:f>
        <x:v>9</x:v>
      </x:c>
      <x:c r="B6" s="191"/>
      <x:c r="C6" s="192" t="n">
        <x:f>IF(Listas!$B$23&gt;0,"n.a.",SUMIFS(Lotes!L5:L204,Lotes!X5:X204,1))</x:f>
        <x:v>14529</x:v>
      </x:c>
      <x:c r="D6" s="192"/>
      <x:c r="E6" s="192" t="n">
        <x:f>IF(Listas!$B$23&gt;0,"n.a.",SUMIFS(Lotes!W5:W204,Lotes!X5:X204,1))</x:f>
        <x:v>12124.5</x:v>
      </x:c>
      <x:c r="F6" s="192"/>
      <x:c r="G6" s="192" t="n">
        <x:f>IF(Listas!$B$23&gt;0,"n.a.",SUMIFS(Lotes!R5:R204,Lotes!X5:X204,1))</x:f>
        <x:v>4682.5</x:v>
      </x:c>
      <x:c r="H6" s="192"/>
      <x:c r="I6" s="191" t="n">
        <x:f>IF(Listas!$B$23&gt;0,"n.a.",COUNTIFS(Lotes!N5:N204,"CRÍTICO",Lotes!X5:X204,1)+COUNTIFS(Lotes!N5:N204,"VENCE NA JANELA",Lotes!X5:X204,1))</x:f>
        <x:v>2</x:v>
      </x:c>
      <x:c r="J6" s="191"/>
      <x:c r="K6" s="184"/>
      <x:c r="L6" s="191" t="n">
        <x:f>Listas!B21</x:f>
        <x:v>0</x:v>
      </x:c>
      <x:c r="M6" s="191"/>
      <x:c r="N6" s="191"/>
      <x:c r="O6"/>
      <x:c r="P6"/>
      <x:c r="Q6"/>
      <x:c r="R6"/>
      <x:c r="S6"/>
      <x:c r="T6"/>
      <x:c r="U6"/>
      <x:c r="V6" s="1"/>
      <x:c r="W6" s="1"/>
    </x:row>
    <x:row r="7" ht="22" customHeight="1">
      <x:c r="A7" s="191"/>
      <x:c r="B7" s="191"/>
      <x:c r="C7" s="192"/>
      <x:c r="D7" s="192"/>
      <x:c r="E7" s="192"/>
      <x:c r="F7" s="192"/>
      <x:c r="G7" s="192"/>
      <x:c r="H7" s="192"/>
      <x:c r="I7" s="191"/>
      <x:c r="J7" s="191"/>
      <x:c r="K7" s="184"/>
      <x:c r="L7" s="191"/>
      <x:c r="M7" s="191"/>
      <x:c r="N7" s="191"/>
      <x:c r="O7"/>
      <x:c r="P7"/>
      <x:c r="Q7"/>
      <x:c r="R7"/>
      <x:c r="S7"/>
      <x:c r="T7"/>
      <x:c r="U7"/>
      <x:c r="V7" s="1"/>
      <x:c r="W7" s="1"/>
    </x:row>
    <x:row r="8" ht="22" customHeight="1">
      <x:c r="A8" s="184"/>
      <x:c r="B8" s="184"/>
      <x:c r="C8" s="184"/>
      <x:c r="D8" s="184"/>
      <x:c r="E8" s="184"/>
      <x:c r="F8" s="184"/>
      <x:c r="G8" s="184"/>
      <x:c r="H8" s="184"/>
      <x:c r="I8" s="184"/>
      <x:c r="J8" s="184"/>
      <x:c r="K8" s="184"/>
      <x:c r="L8" s="184"/>
      <x:c r="M8" s="184"/>
      <x:c r="N8" s="184"/>
      <x:c r="O8"/>
      <x:c r="P8"/>
      <x:c r="Q8"/>
      <x:c r="R8"/>
      <x:c r="S8"/>
      <x:c r="T8"/>
      <x:c r="U8"/>
      <x:c r="V8" s="1"/>
      <x:c r="W8" s="1"/>
    </x:row>
    <x:row r="9" ht="30" customHeight="1">
      <x:c r="A9" s="193" t="str">
        <x:v>Quantidades por SKU e unidade. Dados de estoque inválidos suspendem valores e gráfico. Prazo de ação inválido gera pendência, sem alterar saldo.</x:v>
      </x:c>
      <x:c r="B9" s="193"/>
      <x:c r="C9" s="193"/>
      <x:c r="D9" s="193"/>
      <x:c r="E9" s="193"/>
      <x:c r="F9" s="193"/>
      <x:c r="G9" s="193"/>
      <x:c r="H9" s="193"/>
      <x:c r="I9" s="193"/>
      <x:c r="J9" s="193"/>
      <x:c r="K9" s="193"/>
      <x:c r="L9" s="193"/>
      <x:c r="M9" s="193"/>
      <x:c r="N9" s="193"/>
      <x:c r="O9"/>
      <x:c r="P9"/>
      <x:c r="Q9"/>
      <x:c r="R9"/>
      <x:c r="S9"/>
      <x:c r="T9"/>
      <x:c r="U9"/>
      <x:c r="V9" s="1"/>
      <x:c r="W9" s="1"/>
    </x:row>
    <x:row r="10" ht="22" customHeight="1">
      <x:c r="A10" s="184"/>
      <x:c r="B10" s="184"/>
      <x:c r="C10" s="184"/>
      <x:c r="D10" s="184"/>
      <x:c r="E10" s="184"/>
      <x:c r="F10" s="184"/>
      <x:c r="G10" s="184"/>
      <x:c r="H10" s="184"/>
      <x:c r="I10" s="184"/>
      <x:c r="J10" s="184"/>
      <x:c r="K10" s="184"/>
      <x:c r="L10" s="184"/>
      <x:c r="M10" s="184"/>
      <x:c r="N10" s="184"/>
      <x:c r="O10"/>
      <x:c r="P10" t="str">
        <x:v>Situação</x:v>
      </x:c>
      <x:c r="Q10" t="str">
        <x:v>Valor físico (R$)</x:v>
      </x:c>
      <x:c r="R10"/>
      <x:c r="S10"/>
      <x:c r="T10"/>
      <x:c r="U10"/>
      <x:c r="V10" s="1"/>
      <x:c r="W10" s="1"/>
    </x:row>
    <x:row r="11" ht="28" customHeight="1">
      <x:c r="A11" s="184"/>
      <x:c r="B11" s="184"/>
      <x:c r="C11" s="184"/>
      <x:c r="D11" s="184"/>
      <x:c r="E11" s="184"/>
      <x:c r="F11" s="184"/>
      <x:c r="G11" s="184"/>
      <x:c r="H11" s="184"/>
      <x:c r="I11" s="194" t="str">
        <x:v>Exceções no contexto</x:v>
      </x:c>
      <x:c r="J11" s="194"/>
      <x:c r="K11" s="194"/>
      <x:c r="L11" s="194"/>
      <x:c r="M11" s="194"/>
      <x:c r="N11" s="194"/>
      <x:c r="O11"/>
      <x:c r="P11" t="str">
        <x:v>Vencidos</x:v>
      </x:c>
      <x:c r="Q11" t="n">
        <x:f>IF(Listas!$B$23&gt;0,"n.a.",SUMIFS(Lotes!$L$5:$L$204,Lotes!$AE$5:$AE$204,P11,Lotes!$X$5:$X$204,1))</x:f>
        <x:v>220.5</x:v>
      </x:c>
      <x:c r="R11"/>
      <x:c r="S11"/>
      <x:c r="T11"/>
      <x:c r="U11"/>
      <x:c r="V11" s="1"/>
      <x:c r="W11" s="1"/>
    </x:row>
    <x:row r="12" ht="22" customHeight="1">
      <x:c r="A12" s="184"/>
      <x:c r="B12" s="184"/>
      <x:c r="C12" s="184"/>
      <x:c r="D12" s="184"/>
      <x:c r="E12" s="184"/>
      <x:c r="F12" s="184"/>
      <x:c r="G12" s="184"/>
      <x:c r="H12" s="184"/>
      <x:c r="I12" s="184"/>
      <x:c r="J12" s="184"/>
      <x:c r="K12" s="184"/>
      <x:c r="L12" s="184"/>
      <x:c r="M12" s="184"/>
      <x:c r="N12" s="184"/>
      <x:c r="O12"/>
      <x:c r="P12" t="str">
        <x:v>Restritos vigentes</x:v>
      </x:c>
      <x:c r="Q12" t="n">
        <x:f>IF(Listas!$B$23&gt;0,"n.a.",SUMIFS(Lotes!$L$5:$L$204,Lotes!$AE$5:$AE$204,P12,Lotes!$X$5:$X$204,1))</x:f>
        <x:v>2184</x:v>
      </x:c>
      <x:c r="R12"/>
      <x:c r="S12"/>
      <x:c r="T12"/>
      <x:c r="U12"/>
      <x:c r="V12" s="1"/>
      <x:c r="W12" s="1"/>
    </x:row>
    <x:row r="13" ht="22" customHeight="1">
      <x:c r="A13" s="184"/>
      <x:c r="B13" s="184"/>
      <x:c r="C13" s="184"/>
      <x:c r="D13" s="184"/>
      <x:c r="E13" s="184"/>
      <x:c r="F13" s="184"/>
      <x:c r="G13" s="184"/>
      <x:c r="H13" s="184"/>
      <x:c r="I13" s="184" t="str">
        <x:v>Lotes vencidos</x:v>
      </x:c>
      <x:c r="J13" s="184"/>
      <x:c r="K13" s="184"/>
      <x:c r="L13" s="184"/>
      <x:c r="M13" s="184" t="n">
        <x:f>IF(Listas!$B$23&gt;0,"n.a.",COUNTIFS(Lotes!$N$5:$N$204,"VENCIDO",Lotes!$X$5:$X$204,1))</x:f>
        <x:v>2</x:v>
      </x:c>
      <x:c r="N13" s="184"/>
      <x:c r="O13"/>
      <x:c r="P13" t="str">
        <x:v>Liberados na janela</x:v>
      </x:c>
      <x:c r="Q13" t="n">
        <x:f>IF(Listas!$B$23&gt;0,"n.a.",SUMIFS(Lotes!$L$5:$L$204,Lotes!$AE$5:$AE$204,P13,Lotes!$X$5:$X$204,1))</x:f>
        <x:v>2278</x:v>
      </x:c>
      <x:c r="R13"/>
      <x:c r="S13"/>
      <x:c r="T13"/>
      <x:c r="U13"/>
      <x:c r="V13" s="1"/>
      <x:c r="W13" s="1"/>
    </x:row>
    <x:row r="14" ht="22" customHeight="1">
      <x:c r="A14" s="184"/>
      <x:c r="B14" s="184"/>
      <x:c r="C14" s="184"/>
      <x:c r="D14" s="184"/>
      <x:c r="E14" s="184"/>
      <x:c r="F14" s="184"/>
      <x:c r="G14" s="184"/>
      <x:c r="H14" s="184"/>
      <x:c r="I14" s="184"/>
      <x:c r="J14" s="184"/>
      <x:c r="K14" s="184"/>
      <x:c r="L14" s="184"/>
      <x:c r="M14" s="184"/>
      <x:c r="N14" s="184"/>
      <x:c r="O14"/>
      <x:c r="P14" t="str">
        <x:v>Demais liberados</x:v>
      </x:c>
      <x:c r="Q14" t="n">
        <x:f>IF(Listas!$B$23&gt;0,"n.a.",SUMIFS(Lotes!$L$5:$L$204,Lotes!$AE$5:$AE$204,P14,Lotes!$X$5:$X$204,1))</x:f>
        <x:v>9846.5</x:v>
      </x:c>
      <x:c r="R14"/>
      <x:c r="S14"/>
      <x:c r="T14"/>
      <x:c r="U14"/>
      <x:c r="V14" s="1"/>
      <x:c r="W14" s="1"/>
    </x:row>
    <x:row r="15" ht="22" customHeight="1">
      <x:c r="A15" s="184"/>
      <x:c r="B15" s="184"/>
      <x:c r="C15" s="184"/>
      <x:c r="D15" s="184"/>
      <x:c r="E15" s="184"/>
      <x:c r="F15" s="184"/>
      <x:c r="G15" s="184"/>
      <x:c r="H15" s="184"/>
      <x:c r="I15" s="184" t="str">
        <x:v>Quarentena ou bloqueio</x:v>
      </x:c>
      <x:c r="J15" s="184"/>
      <x:c r="K15" s="184"/>
      <x:c r="L15" s="184"/>
      <x:c r="M15" s="184" t="n">
        <x:f>IF(Listas!$B$23&gt;0,"n.a.",COUNTIFS(Lotes!$M$5:$M$204,"Quarentena",Lotes!$J$5:$J$204,"&gt;0",Lotes!$X$5:$X$204,1)+COUNTIFS(Lotes!$M$5:$M$204,"Bloqueado",Lotes!$J$5:$J$204,"&gt;0",Lotes!$X$5:$X$204,1))</x:f>
        <x:v>2</x:v>
      </x:c>
      <x:c r="N15" s="184"/>
      <x:c r="O15"/>
      <x:c r="P15"/>
      <x:c r="Q15"/>
      <x:c r="R15"/>
      <x:c r="S15"/>
      <x:c r="T15"/>
      <x:c r="U15"/>
      <x:c r="V15" s="1"/>
      <x:c r="W15" s="1"/>
    </x:row>
    <x:row r="16" ht="22" customHeight="1">
      <x:c r="A16" s="184"/>
      <x:c r="B16" s="184"/>
      <x:c r="C16" s="184"/>
      <x:c r="D16" s="184"/>
      <x:c r="E16" s="184"/>
      <x:c r="F16" s="184"/>
      <x:c r="G16" s="184"/>
      <x:c r="H16" s="184"/>
      <x:c r="I16" s="184"/>
      <x:c r="J16" s="184"/>
      <x:c r="K16" s="184"/>
      <x:c r="L16" s="184"/>
      <x:c r="M16" s="184"/>
      <x:c r="N16" s="184"/>
      <x:c r="O16"/>
      <x:c r="P16"/>
      <x:c r="Q16"/>
      <x:c r="R16"/>
      <x:c r="S16"/>
      <x:c r="T16"/>
      <x:c r="U16"/>
      <x:c r="V16" s="1"/>
      <x:c r="W16" s="1"/>
    </x:row>
    <x:row r="17" ht="22" customHeight="1">
      <x:c r="A17" s="184"/>
      <x:c r="B17" s="184"/>
      <x:c r="C17" s="184"/>
      <x:c r="D17" s="184"/>
      <x:c r="E17" s="184"/>
      <x:c r="F17" s="184"/>
      <x:c r="G17" s="184"/>
      <x:c r="H17" s="184"/>
      <x:c r="I17" s="184" t="str">
        <x:v>Produtos para repor</x:v>
      </x:c>
      <x:c r="J17" s="184"/>
      <x:c r="K17" s="184"/>
      <x:c r="L17" s="184"/>
      <x:c r="M17" s="184" t="n">
        <x:f>IF(Listas!$B$23&gt;0,"n.a.",COUNTIFS(Produtos!N5:N204,"REPOR",Produtos!S5:S204,1))</x:f>
        <x:v>4</x:v>
      </x:c>
      <x:c r="N17" s="184"/>
      <x:c r="O17"/>
      <x:c r="P17"/>
      <x:c r="Q17"/>
      <x:c r="R17"/>
      <x:c r="S17"/>
      <x:c r="T17"/>
      <x:c r="U17"/>
      <x:c r="V17" s="1"/>
      <x:c r="W17" s="1"/>
    </x:row>
    <x:row r="18" ht="22" customHeight="1">
      <x:c r="A18" s="184"/>
      <x:c r="B18" s="184"/>
      <x:c r="C18" s="184"/>
      <x:c r="D18" s="184"/>
      <x:c r="E18" s="184"/>
      <x:c r="F18" s="184"/>
      <x:c r="G18" s="184"/>
      <x:c r="H18" s="184"/>
      <x:c r="I18" s="184"/>
      <x:c r="J18" s="184"/>
      <x:c r="K18" s="184"/>
      <x:c r="L18" s="184"/>
      <x:c r="M18" s="184"/>
      <x:c r="N18" s="184"/>
      <x:c r="O18"/>
      <x:c r="P18"/>
      <x:c r="Q18"/>
      <x:c r="R18"/>
      <x:c r="S18"/>
      <x:c r="T18"/>
      <x:c r="U18"/>
      <x:c r="V18" s="1"/>
      <x:c r="W18" s="1"/>
    </x:row>
    <x:row r="19" ht="22" customHeight="1">
      <x:c r="A19" s="184"/>
      <x:c r="B19" s="184"/>
      <x:c r="C19" s="184"/>
      <x:c r="D19" s="184"/>
      <x:c r="E19" s="184"/>
      <x:c r="F19" s="184"/>
      <x:c r="G19" s="184"/>
      <x:c r="H19" s="184"/>
      <x:c r="I19" s="193" t="str">
        <x:v>Pendências: Produtos P, Lotes S/U e Movimentacoes O, mais parâmetros. A mesma causa pode afetar várias linhas. Restrição e vencimento podem coexistir.</x:v>
      </x:c>
      <x:c r="J19" s="193"/>
      <x:c r="K19" s="193"/>
      <x:c r="L19" s="193"/>
      <x:c r="M19" s="193"/>
      <x:c r="N19" s="193"/>
      <x:c r="O19"/>
      <x:c r="P19"/>
      <x:c r="Q19"/>
      <x:c r="R19"/>
      <x:c r="S19"/>
      <x:c r="T19"/>
      <x:c r="U19"/>
      <x:c r="V19" s="1"/>
      <x:c r="W19" s="1"/>
    </x:row>
    <x:row r="20" ht="22" customHeight="1">
      <x:c r="A20" s="184"/>
      <x:c r="B20" s="184"/>
      <x:c r="C20" s="184"/>
      <x:c r="D20" s="184"/>
      <x:c r="E20" s="184"/>
      <x:c r="F20" s="184"/>
      <x:c r="G20" s="184"/>
      <x:c r="H20" s="184"/>
      <x:c r="I20" s="193"/>
      <x:c r="J20" s="193"/>
      <x:c r="K20" s="193"/>
      <x:c r="L20" s="193"/>
      <x:c r="M20" s="193"/>
      <x:c r="N20" s="193"/>
      <x:c r="O20"/>
      <x:c r="P20"/>
      <x:c r="Q20"/>
      <x:c r="R20"/>
      <x:c r="S20"/>
      <x:c r="T20"/>
      <x:c r="U20"/>
      <x:c r="V20" s="1"/>
      <x:c r="W20" s="1"/>
    </x:row>
    <x:row r="21" ht="22" customHeight="1">
      <x:c r="A21" s="184"/>
      <x:c r="B21" s="184"/>
      <x:c r="C21" s="184"/>
      <x:c r="D21" s="184"/>
      <x:c r="E21" s="184"/>
      <x:c r="F21" s="184"/>
      <x:c r="G21" s="184"/>
      <x:c r="H21" s="184"/>
      <x:c r="I21" s="193"/>
      <x:c r="J21" s="193"/>
      <x:c r="K21" s="193"/>
      <x:c r="L21" s="193"/>
      <x:c r="M21" s="193"/>
      <x:c r="N21" s="193"/>
      <x:c r="O21"/>
      <x:c r="P21"/>
      <x:c r="Q21"/>
      <x:c r="R21"/>
      <x:c r="S21"/>
      <x:c r="T21"/>
      <x:c r="U21"/>
      <x:c r="V21" s="1"/>
      <x:c r="W21" s="1"/>
    </x:row>
    <x:row r="22" ht="22" customHeight="1">
      <x:c r="A22" s="184"/>
      <x:c r="B22" s="184"/>
      <x:c r="C22" s="184"/>
      <x:c r="D22" s="184"/>
      <x:c r="E22" s="184"/>
      <x:c r="F22" s="184"/>
      <x:c r="G22" s="184"/>
      <x:c r="H22" s="184"/>
      <x:c r="I22" s="193"/>
      <x:c r="J22" s="193"/>
      <x:c r="K22" s="193"/>
      <x:c r="L22" s="193"/>
      <x:c r="M22" s="193"/>
      <x:c r="N22" s="193"/>
      <x:c r="O22"/>
      <x:c r="P22"/>
      <x:c r="Q22"/>
      <x:c r="R22"/>
      <x:c r="S22"/>
      <x:c r="T22"/>
      <x:c r="U22"/>
      <x:c r="V22" s="1"/>
      <x:c r="W22" s="1"/>
    </x:row>
    <x:row r="23" ht="22" customHeight="1">
      <x:c r="A23" s="184"/>
      <x:c r="B23" s="184"/>
      <x:c r="C23" s="184"/>
      <x:c r="D23" s="184"/>
      <x:c r="E23" s="184"/>
      <x:c r="F23" s="184"/>
      <x:c r="G23" s="184"/>
      <x:c r="H23" s="184"/>
      <x:c r="I23" s="184"/>
      <x:c r="J23" s="184"/>
      <x:c r="K23" s="184"/>
      <x:c r="L23" s="184"/>
      <x:c r="M23" s="184"/>
      <x:c r="N23" s="184"/>
      <x:c r="O23"/>
      <x:c r="P23"/>
      <x:c r="Q23"/>
      <x:c r="R23"/>
      <x:c r="S23"/>
      <x:c r="T23"/>
      <x:c r="U23"/>
      <x:c r="V23" s="1"/>
      <x:c r="W23" s="1"/>
    </x:row>
    <x:row r="24" ht="28" customHeight="1">
      <x:c r="A24" s="194" t="str">
        <x:v>Dez prioridades de lotes: dados, vencidos, restritos e validade próxima</x:v>
      </x:c>
      <x:c r="B24" s="194"/>
      <x:c r="C24" s="194"/>
      <x:c r="D24" s="194"/>
      <x:c r="E24" s="194"/>
      <x:c r="F24" s="194"/>
      <x:c r="G24" s="194"/>
      <x:c r="H24" s="194"/>
      <x:c r="I24" s="194"/>
      <x:c r="J24" s="194"/>
      <x:c r="K24" s="194"/>
      <x:c r="L24" s="194"/>
      <x:c r="M24" s="194"/>
      <x:c r="N24" s="194"/>
      <x:c r="O24"/>
      <x:c r="P24"/>
      <x:c r="Q24"/>
      <x:c r="R24"/>
      <x:c r="S24"/>
      <x:c r="T24"/>
      <x:c r="U24"/>
      <x:c r="V24" s="1"/>
      <x:c r="W24" s="1"/>
    </x:row>
    <x:row r="25" ht="32" customHeight="1">
      <x:c r="A25" s="194" t="str">
        <x:v>Lote</x:v>
      </x:c>
      <x:c r="B25" s="194"/>
      <x:c r="C25" s="194" t="str">
        <x:v>Produto</x:v>
      </x:c>
      <x:c r="D25" s="194"/>
      <x:c r="E25" s="194" t="str">
        <x:v>Motivos</x:v>
      </x:c>
      <x:c r="F25" s="194"/>
      <x:c r="G25" s="194"/>
      <x:c r="H25" s="194" t="str">
        <x:v>Responsável</x:v>
      </x:c>
      <x:c r="I25" s="194" t="str">
        <x:v>Próxima ação</x:v>
      </x:c>
      <x:c r="J25" s="194"/>
      <x:c r="K25" s="194"/>
      <x:c r="L25" s="194" t="str">
        <x:v>Prazo</x:v>
      </x:c>
      <x:c r="M25" s="194" t="str">
        <x:v>Valor físico</x:v>
      </x:c>
      <x:c r="N25" s="194"/>
      <x:c r="O25"/>
      <x:c r="P25"/>
      <x:c r="Q25"/>
      <x:c r="R25"/>
      <x:c r="S25"/>
      <x:c r="T25"/>
      <x:c r="U25"/>
      <x:c r="V25" s="1"/>
      <x:c r="W25" s="1"/>
    </x:row>
    <x:row r="26" ht="60" customHeight="1">
      <x:c r="A26" s="196" t="str">
        <x:f>IF(COUNTIFS(Lotes!$AA$5:$AA$204,1)=0,"",IF(INDEX(Lotes!$AF$5:$AF$204,MATCH(1,Lotes!$AA$5:$AA$204,0))="","",INDEX(Lotes!$AF$5:$AF$204,MATCH(1,Lotes!$AA$5:$AA$204,0))))</x:f>
        <x:v>LOT-I001</x:v>
      </x:c>
      <x:c r="B26" s="196"/>
      <x:c r="C26" s="196" t="str">
        <x:f>IF(COUNTIFS(Lotes!$AA$5:$AA$204,1)=0,"",IF(INDEX(Lotes!$C$5:$C$204,MATCH(1,Lotes!$AA$5:$AA$204,0))="","",INDEX(Lotes!$C$5:$C$204,MATCH(1,Lotes!$AA$5:$AA$204,0))))</x:f>
        <x:v>Iogurte natural 170 g</x:v>
      </x:c>
      <x:c r="D26" s="196"/>
      <x:c r="E26" s="196" t="str">
        <x:f>IF(COUNTIFS(Lotes!$AA$5:$AA$204,1)=0,"",IF(INDEX(Lotes!$Y$5:$Y$204,MATCH(1,Lotes!$AA$5:$AA$204,0))="","",INDEX(Lotes!$Y$5:$Y$204,MATCH(1,Lotes!$AA$5:$AA$204,0))))</x:f>
        <x:v>Validade vencida. </x:v>
      </x:c>
      <x:c r="F26" s="196"/>
      <x:c r="G26" s="196"/>
      <x:c r="H26" s="196" t="str">
        <x:f>IF(COUNTIFS(Lotes!$AA$5:$AA$204,1)=0,"",IF(INDEX(Lotes!$AB$5:$AB$204,MATCH(1,Lotes!$AA$5:$AA$204,0))="","",INDEX(Lotes!$AB$5:$AB$204,MATCH(1,Lotes!$AA$5:$AA$204,0))))</x:f>
        <x:v>Ana Souza</x:v>
      </x:c>
      <x:c r="I26" s="196" t="str">
        <x:f>IF(COUNTIFS(Lotes!$AA$5:$AA$204,1)=0,"",IF(INDEX(Lotes!$AC$5:$AC$204,MATCH(1,Lotes!$AA$5:$AA$204,0))="","",INDEX(Lotes!$AC$5:$AC$204,MATCH(1,Lotes!$AA$5:$AA$204,0))))</x:f>
        <x:v>Conferir segregação e registrar decisão</x:v>
      </x:c>
      <x:c r="J26" s="196"/>
      <x:c r="K26" s="196"/>
      <x:c r="L26" s="197" t="n">
        <x:f>IF(COUNTIFS(Lotes!$AA$5:$AA$204,1)=0,"",IF(INDEX(Lotes!$AH$5:$AH$204,MATCH(1,Lotes!$AA$5:$AA$204,0))&gt;0,"Revisar prazo",IF(INDEX(Lotes!$AD$5:$AD$204,MATCH(1,Lotes!$AA$5:$AA$204,0))="","",INDEX(Lotes!$AD$5:$AD$204,MATCH(1,Lotes!$AA$5:$AA$204,0)))))</x:f>
        <x:v>46294</x:v>
      </x:c>
      <x:c r="M26" s="198" t="n">
        <x:f>IF(COUNTIFS(Lotes!$AA$5:$AA$204,1)=0,"",IF(INDEX(Lotes!$L$5:$L$204,MATCH(1,Lotes!$AA$5:$AA$204,0))="","",INDEX(Lotes!$L$5:$L$204,MATCH(1,Lotes!$AA$5:$AA$204,0))))</x:f>
        <x:v>138</x:v>
      </x:c>
      <x:c r="N26" s="198"/>
      <x:c r="O26"/>
      <x:c r="P26"/>
      <x:c r="Q26"/>
      <x:c r="R26"/>
      <x:c r="S26"/>
      <x:c r="T26"/>
      <x:c r="U26"/>
      <x:c r="V26" s="1"/>
      <x:c r="W26" s="1"/>
    </x:row>
    <x:row r="27" ht="60" customHeight="1">
      <x:c r="A27" s="196" t="str">
        <x:f>IF(COUNTIFS(Lotes!$AA$5:$AA$204,2)=0,"",IF(INDEX(Lotes!$AF$5:$AF$204,MATCH(2,Lotes!$AA$5:$AA$204,0))="","",INDEX(Lotes!$AF$5:$AF$204,MATCH(2,Lotes!$AA$5:$AA$204,0))))</x:f>
        <x:v>LOT-D001</x:v>
      </x:c>
      <x:c r="B27" s="196"/>
      <x:c r="C27" s="196" t="str">
        <x:f>IF(COUNTIFS(Lotes!$AA$5:$AA$204,2)=0,"",IF(INDEX(Lotes!$C$5:$C$204,MATCH(2,Lotes!$AA$5:$AA$204,0))="","",INDEX(Lotes!$C$5:$C$204,MATCH(2,Lotes!$AA$5:$AA$204,0))))</x:f>
        <x:v>Detergente neutro 500 ml</x:v>
      </x:c>
      <x:c r="D27" s="196"/>
      <x:c r="E27" s="196" t="str">
        <x:f>IF(COUNTIFS(Lotes!$AA$5:$AA$204,2)=0,"",IF(INDEX(Lotes!$Y$5:$Y$204,MATCH(2,Lotes!$AA$5:$AA$204,0))="","",INDEX(Lotes!$Y$5:$Y$204,MATCH(2,Lotes!$AA$5:$AA$204,0))))</x:f>
        <x:v>Validade vencida. Lote bloqueado. </x:v>
      </x:c>
      <x:c r="F27" s="196"/>
      <x:c r="G27" s="196"/>
      <x:c r="H27" s="196" t="str">
        <x:f>IF(COUNTIFS(Lotes!$AA$5:$AA$204,2)=0,"",IF(INDEX(Lotes!$AB$5:$AB$204,MATCH(2,Lotes!$AA$5:$AA$204,0))="","",INDEX(Lotes!$AB$5:$AB$204,MATCH(2,Lotes!$AA$5:$AA$204,0))))</x:f>
        <x:v>Carla Nunes</x:v>
      </x:c>
      <x:c r="I27" s="196" t="str">
        <x:f>IF(COUNTIFS(Lotes!$AA$5:$AA$204,2)=0,"",IF(INDEX(Lotes!$AC$5:$AC$204,MATCH(2,Lotes!$AA$5:$AA$204,0))="","",INDEX(Lotes!$AC$5:$AC$204,MATCH(2,Lotes!$AA$5:$AA$204,0))))</x:f>
        <x:v>Conferir bloqueio e causa</x:v>
      </x:c>
      <x:c r="J27" s="196"/>
      <x:c r="K27" s="196"/>
      <x:c r="L27" s="197" t="n">
        <x:f>IF(COUNTIFS(Lotes!$AA$5:$AA$204,2)=0,"",IF(INDEX(Lotes!$AH$5:$AH$204,MATCH(2,Lotes!$AA$5:$AA$204,0))&gt;0,"Revisar prazo",IF(INDEX(Lotes!$AD$5:$AD$204,MATCH(2,Lotes!$AA$5:$AA$204,0))="","",INDEX(Lotes!$AD$5:$AD$204,MATCH(2,Lotes!$AA$5:$AA$204,0)))))</x:f>
        <x:v>46294</x:v>
      </x:c>
      <x:c r="M27" s="198" t="n">
        <x:f>IF(COUNTIFS(Lotes!$AA$5:$AA$204,2)=0,"",IF(INDEX(Lotes!$L$5:$L$204,MATCH(2,Lotes!$AA$5:$AA$204,0))="","",INDEX(Lotes!$L$5:$L$204,MATCH(2,Lotes!$AA$5:$AA$204,0))))</x:f>
        <x:v>82.5</x:v>
      </x:c>
      <x:c r="N27" s="198"/>
      <x:c r="O27"/>
      <x:c r="P27"/>
      <x:c r="Q27"/>
      <x:c r="R27"/>
      <x:c r="S27"/>
      <x:c r="T27"/>
      <x:c r="U27"/>
      <x:c r="V27" s="1"/>
      <x:c r="W27" s="1"/>
    </x:row>
    <x:row r="28" ht="60" customHeight="1">
      <x:c r="A28" s="196" t="str">
        <x:f>IF(COUNTIFS(Lotes!$AA$5:$AA$204,3)=0,"",IF(INDEX(Lotes!$AF$5:$AF$204,MATCH(3,Lotes!$AA$5:$AA$204,0))="","",INDEX(Lotes!$AF$5:$AF$204,MATCH(3,Lotes!$AA$5:$AA$204,0))))</x:f>
        <x:v>LOT-V001</x:v>
      </x:c>
      <x:c r="B28" s="196"/>
      <x:c r="C28" s="196" t="str">
        <x:f>IF(COUNTIFS(Lotes!$AA$5:$AA$204,3)=0,"",IF(INDEX(Lotes!$C$5:$C$204,MATCH(3,Lotes!$AA$5:$AA$204,0))="","",INDEX(Lotes!$C$5:$C$204,MATCH(3,Lotes!$AA$5:$AA$204,0))))</x:f>
        <x:v>Vitamina C 30 cápsulas</x:v>
      </x:c>
      <x:c r="D28" s="196"/>
      <x:c r="E28" s="196" t="str">
        <x:f>IF(COUNTIFS(Lotes!$AA$5:$AA$204,3)=0,"",IF(INDEX(Lotes!$Y$5:$Y$204,MATCH(3,Lotes!$AA$5:$AA$204,0))="","",INDEX(Lotes!$Y$5:$Y$204,MATCH(3,Lotes!$AA$5:$AA$204,0))))</x:f>
        <x:v>Em quarentena. </x:v>
      </x:c>
      <x:c r="F28" s="196"/>
      <x:c r="G28" s="196"/>
      <x:c r="H28" s="196" t="str">
        <x:f>IF(COUNTIFS(Lotes!$AA$5:$AA$204,3)=0,"",IF(INDEX(Lotes!$AB$5:$AB$204,MATCH(3,Lotes!$AA$5:$AA$204,0))="","",INDEX(Lotes!$AB$5:$AB$204,MATCH(3,Lotes!$AA$5:$AA$204,0))))</x:f>
        <x:v>Carla Nunes</x:v>
      </x:c>
      <x:c r="I28" s="196" t="str">
        <x:f>IF(COUNTIFS(Lotes!$AA$5:$AA$204,3)=0,"",IF(INDEX(Lotes!$AC$5:$AC$204,MATCH(3,Lotes!$AA$5:$AA$204,0))="","",INDEX(Lotes!$AC$5:$AC$204,MATCH(3,Lotes!$AA$5:$AA$204,0))))</x:f>
        <x:v>Solicitar decisão da qualidade</x:v>
      </x:c>
      <x:c r="J28" s="196"/>
      <x:c r="K28" s="196"/>
      <x:c r="L28" s="197" t="n">
        <x:f>IF(COUNTIFS(Lotes!$AA$5:$AA$204,3)=0,"",IF(INDEX(Lotes!$AH$5:$AH$204,MATCH(3,Lotes!$AA$5:$AA$204,0))&gt;0,"Revisar prazo",IF(INDEX(Lotes!$AD$5:$AD$204,MATCH(3,Lotes!$AA$5:$AA$204,0))="","",INDEX(Lotes!$AD$5:$AD$204,MATCH(3,Lotes!$AA$5:$AA$204,0)))))</x:f>
        <x:v>46296</x:v>
      </x:c>
      <x:c r="M28" s="198" t="n">
        <x:f>IF(COUNTIFS(Lotes!$AA$5:$AA$204,3)=0,"",IF(INDEX(Lotes!$L$5:$L$204,MATCH(3,Lotes!$AA$5:$AA$204,0))="","",INDEX(Lotes!$L$5:$L$204,MATCH(3,Lotes!$AA$5:$AA$204,0))))</x:f>
        <x:v>2184</x:v>
      </x:c>
      <x:c r="N28" s="198"/>
      <x:c r="O28"/>
      <x:c r="P28"/>
      <x:c r="Q28"/>
      <x:c r="R28"/>
      <x:c r="S28"/>
      <x:c r="T28"/>
      <x:c r="U28"/>
      <x:c r="V28" s="1"/>
      <x:c r="W28" s="1"/>
    </x:row>
    <x:row r="29" ht="60" customHeight="1">
      <x:c r="A29" s="196" t="str">
        <x:f>IF(COUNTIFS(Lotes!$AA$5:$AA$204,4)=0,"",IF(INDEX(Lotes!$AF$5:$AF$204,MATCH(4,Lotes!$AA$5:$AA$204,0))="","",INDEX(Lotes!$AF$5:$AF$204,MATCH(4,Lotes!$AA$5:$AA$204,0))))</x:f>
        <x:v>LOT-I002</x:v>
      </x:c>
      <x:c r="B29" s="196"/>
      <x:c r="C29" s="196" t="str">
        <x:f>IF(COUNTIFS(Lotes!$AA$5:$AA$204,4)=0,"",IF(INDEX(Lotes!$C$5:$C$204,MATCH(4,Lotes!$AA$5:$AA$204,0))="","",INDEX(Lotes!$C$5:$C$204,MATCH(4,Lotes!$AA$5:$AA$204,0))))</x:f>
        <x:v>Iogurte natural 170 g</x:v>
      </x:c>
      <x:c r="D29" s="196"/>
      <x:c r="E29" s="196" t="str">
        <x:f>IF(COUNTIFS(Lotes!$AA$5:$AA$204,4)=0,"",IF(INDEX(Lotes!$Y$5:$Y$204,MATCH(4,Lotes!$AA$5:$AA$204,0))="","",INDEX(Lotes!$Y$5:$Y$204,MATCH(4,Lotes!$AA$5:$AA$204,0))))</x:f>
        <x:v>Validade crítica. </x:v>
      </x:c>
      <x:c r="F29" s="196"/>
      <x:c r="G29" s="196"/>
      <x:c r="H29" s="196" t="str">
        <x:f>IF(COUNTIFS(Lotes!$AA$5:$AA$204,4)=0,"",IF(INDEX(Lotes!$AB$5:$AB$204,MATCH(4,Lotes!$AA$5:$AA$204,0))="","",INDEX(Lotes!$AB$5:$AB$204,MATCH(4,Lotes!$AA$5:$AA$204,0))))</x:f>
        <x:v>Bruno Lima</x:v>
      </x:c>
      <x:c r="I29" s="196" t="str">
        <x:f>IF(COUNTIFS(Lotes!$AA$5:$AA$204,4)=0,"",IF(INDEX(Lotes!$AC$5:$AC$204,MATCH(4,Lotes!$AA$5:$AA$204,0))="","",INDEX(Lotes!$AC$5:$AC$204,MATCH(4,Lotes!$AA$5:$AA$204,0))))</x:f>
        <x:v>Conferir elegibilidade antes da separação</x:v>
      </x:c>
      <x:c r="J29" s="196"/>
      <x:c r="K29" s="196"/>
      <x:c r="L29" s="197" t="n">
        <x:f>IF(COUNTIFS(Lotes!$AA$5:$AA$204,4)=0,"",IF(INDEX(Lotes!$AH$5:$AH$204,MATCH(4,Lotes!$AA$5:$AA$204,0))&gt;0,"Revisar prazo",IF(INDEX(Lotes!$AD$5:$AD$204,MATCH(4,Lotes!$AA$5:$AA$204,0))="","",INDEX(Lotes!$AD$5:$AD$204,MATCH(4,Lotes!$AA$5:$AA$204,0)))))</x:f>
        <x:v>46298</x:v>
      </x:c>
      <x:c r="M29" s="198" t="n">
        <x:f>IF(COUNTIFS(Lotes!$AA$5:$AA$204,4)=0,"",IF(INDEX(Lotes!$L$5:$L$204,MATCH(4,Lotes!$AA$5:$AA$204,0))="","",INDEX(Lotes!$L$5:$L$204,MATCH(4,Lotes!$AA$5:$AA$204,0))))</x:f>
        <x:v>696</x:v>
      </x:c>
      <x:c r="N29" s="198"/>
      <x:c r="O29"/>
      <x:c r="P29"/>
      <x:c r="Q29"/>
      <x:c r="R29"/>
      <x:c r="S29"/>
      <x:c r="T29"/>
      <x:c r="U29"/>
      <x:c r="V29" s="1"/>
      <x:c r="W29" s="1"/>
    </x:row>
    <x:row r="30" ht="60" customHeight="1">
      <x:c r="A30" s="196" t="str">
        <x:f>IF(COUNTIFS(Lotes!$AA$5:$AA$204,5)=0,"",IF(INDEX(Lotes!$AF$5:$AF$204,MATCH(5,Lotes!$AA$5:$AA$204,0))="","",INDEX(Lotes!$AF$5:$AF$204,MATCH(5,Lotes!$AA$5:$AA$204,0))))</x:f>
        <x:v>LOT-S001</x:v>
      </x:c>
      <x:c r="B30" s="196"/>
      <x:c r="C30" s="196" t="str">
        <x:f>IF(COUNTIFS(Lotes!$AA$5:$AA$204,5)=0,"",IF(INDEX(Lotes!$C$5:$C$204,MATCH(5,Lotes!$AA$5:$AA$204,0))="","",INDEX(Lotes!$C$5:$C$204,MATCH(5,Lotes!$AA$5:$AA$204,0))))</x:f>
        <x:v>Suco integral 1 L</x:v>
      </x:c>
      <x:c r="D30" s="196"/>
      <x:c r="E30" s="196" t="str">
        <x:f>IF(COUNTIFS(Lotes!$AA$5:$AA$204,5)=0,"",IF(INDEX(Lotes!$Y$5:$Y$204,MATCH(5,Lotes!$AA$5:$AA$204,0))="","",INDEX(Lotes!$Y$5:$Y$204,MATCH(5,Lotes!$AA$5:$AA$204,0))))</x:f>
        <x:v>Vence na janela. </x:v>
      </x:c>
      <x:c r="F30" s="196"/>
      <x:c r="G30" s="196"/>
      <x:c r="H30" s="196" t="str">
        <x:f>IF(COUNTIFS(Lotes!$AA$5:$AA$204,5)=0,"",IF(INDEX(Lotes!$AB$5:$AB$204,MATCH(5,Lotes!$AA$5:$AA$204,0))="","",INDEX(Lotes!$AB$5:$AB$204,MATCH(5,Lotes!$AA$5:$AA$204,0))))</x:f>
        <x:v>Bruno Lima</x:v>
      </x:c>
      <x:c r="I30" s="196" t="str">
        <x:f>IF(COUNTIFS(Lotes!$AA$5:$AA$204,5)=0,"",IF(INDEX(Lotes!$AC$5:$AC$204,MATCH(5,Lotes!$AA$5:$AA$204,0))="","",INDEX(Lotes!$AC$5:$AC$204,MATCH(5,Lotes!$AA$5:$AA$204,0))))</x:f>
        <x:v>Planejar saída pela validade</x:v>
      </x:c>
      <x:c r="J30" s="196"/>
      <x:c r="K30" s="196"/>
      <x:c r="L30" s="197" t="n">
        <x:f>IF(COUNTIFS(Lotes!$AA$5:$AA$204,5)=0,"",IF(INDEX(Lotes!$AH$5:$AH$204,MATCH(5,Lotes!$AA$5:$AA$204,0))&gt;0,"Revisar prazo",IF(INDEX(Lotes!$AD$5:$AD$204,MATCH(5,Lotes!$AA$5:$AA$204,0))="","",INDEX(Lotes!$AD$5:$AD$204,MATCH(5,Lotes!$AA$5:$AA$204,0)))))</x:f>
        <x:v>46305</x:v>
      </x:c>
      <x:c r="M30" s="198" t="n">
        <x:f>IF(COUNTIFS(Lotes!$AA$5:$AA$204,5)=0,"",IF(INDEX(Lotes!$L$5:$L$204,MATCH(5,Lotes!$AA$5:$AA$204,0))="","",INDEX(Lotes!$L$5:$L$204,MATCH(5,Lotes!$AA$5:$AA$204,0))))</x:f>
        <x:v>1582</x:v>
      </x:c>
      <x:c r="N30" s="198"/>
      <x:c r="O30"/>
      <x:c r="P30"/>
      <x:c r="Q30"/>
      <x:c r="R30"/>
      <x:c r="S30"/>
      <x:c r="T30"/>
      <x:c r="U30"/>
      <x:c r="V30" s="1"/>
      <x:c r="W30" s="1"/>
    </x:row>
    <x:row r="31" ht="60" customHeight="1">
      <x:c r="A31" s="196" t="str">
        <x:f>IF(COUNTIFS(Lotes!$AA$5:$AA$204,6)=0,"",IF(INDEX(Lotes!$AF$5:$AF$204,MATCH(6,Lotes!$AA$5:$AA$204,0))="","",INDEX(Lotes!$AF$5:$AF$204,MATCH(6,Lotes!$AA$5:$AA$204,0))))</x:f>
      </x:c>
      <x:c r="B31" s="196"/>
      <x:c r="C31" s="196" t="str">
        <x:f>IF(COUNTIFS(Lotes!$AA$5:$AA$204,6)=0,"",IF(INDEX(Lotes!$C$5:$C$204,MATCH(6,Lotes!$AA$5:$AA$204,0))="","",INDEX(Lotes!$C$5:$C$204,MATCH(6,Lotes!$AA$5:$AA$204,0))))</x:f>
      </x:c>
      <x:c r="D31" s="196"/>
      <x:c r="E31" s="196" t="str">
        <x:f>IF(COUNTIFS(Lotes!$AA$5:$AA$204,6)=0,"",IF(INDEX(Lotes!$Y$5:$Y$204,MATCH(6,Lotes!$AA$5:$AA$204,0))="","",INDEX(Lotes!$Y$5:$Y$204,MATCH(6,Lotes!$AA$5:$AA$204,0))))</x:f>
      </x:c>
      <x:c r="F31" s="196"/>
      <x:c r="G31" s="196"/>
      <x:c r="H31" s="196" t="str">
        <x:f>IF(COUNTIFS(Lotes!$AA$5:$AA$204,6)=0,"",IF(INDEX(Lotes!$AB$5:$AB$204,MATCH(6,Lotes!$AA$5:$AA$204,0))="","",INDEX(Lotes!$AB$5:$AB$204,MATCH(6,Lotes!$AA$5:$AA$204,0))))</x:f>
      </x:c>
      <x:c r="I31" s="196" t="str">
        <x:f>IF(COUNTIFS(Lotes!$AA$5:$AA$204,6)=0,"",IF(INDEX(Lotes!$AC$5:$AC$204,MATCH(6,Lotes!$AA$5:$AA$204,0))="","",INDEX(Lotes!$AC$5:$AC$204,MATCH(6,Lotes!$AA$5:$AA$204,0))))</x:f>
      </x:c>
      <x:c r="J31" s="196"/>
      <x:c r="K31" s="196"/>
      <x:c r="L31" s="197" t="str">
        <x:f>IF(COUNTIFS(Lotes!$AA$5:$AA$204,6)=0,"",IF(INDEX(Lotes!$AH$5:$AH$204,MATCH(6,Lotes!$AA$5:$AA$204,0))&gt;0,"Revisar prazo",IF(INDEX(Lotes!$AD$5:$AD$204,MATCH(6,Lotes!$AA$5:$AA$204,0))="","",INDEX(Lotes!$AD$5:$AD$204,MATCH(6,Lotes!$AA$5:$AA$204,0)))))</x:f>
      </x:c>
      <x:c r="M31" s="198" t="str">
        <x:f>IF(COUNTIFS(Lotes!$AA$5:$AA$204,6)=0,"",IF(INDEX(Lotes!$L$5:$L$204,MATCH(6,Lotes!$AA$5:$AA$204,0))="","",INDEX(Lotes!$L$5:$L$204,MATCH(6,Lotes!$AA$5:$AA$204,0))))</x:f>
      </x:c>
      <x:c r="N31" s="198"/>
      <x:c r="O31"/>
      <x:c r="P31"/>
      <x:c r="Q31"/>
      <x:c r="R31"/>
      <x:c r="S31"/>
      <x:c r="T31"/>
      <x:c r="U31"/>
      <x:c r="V31" s="1"/>
      <x:c r="W31" s="1"/>
    </x:row>
    <x:row r="32" ht="60" customHeight="1">
      <x:c r="A32" s="196" t="str">
        <x:f>IF(COUNTIFS(Lotes!$AA$5:$AA$204,7)=0,"",IF(INDEX(Lotes!$AF$5:$AF$204,MATCH(7,Lotes!$AA$5:$AA$204,0))="","",INDEX(Lotes!$AF$5:$AF$204,MATCH(7,Lotes!$AA$5:$AA$204,0))))</x:f>
      </x:c>
      <x:c r="B32" s="196"/>
      <x:c r="C32" s="196" t="str">
        <x:f>IF(COUNTIFS(Lotes!$AA$5:$AA$204,7)=0,"",IF(INDEX(Lotes!$C$5:$C$204,MATCH(7,Lotes!$AA$5:$AA$204,0))="","",INDEX(Lotes!$C$5:$C$204,MATCH(7,Lotes!$AA$5:$AA$204,0))))</x:f>
      </x:c>
      <x:c r="D32" s="196"/>
      <x:c r="E32" s="196" t="str">
        <x:f>IF(COUNTIFS(Lotes!$AA$5:$AA$204,7)=0,"",IF(INDEX(Lotes!$Y$5:$Y$204,MATCH(7,Lotes!$AA$5:$AA$204,0))="","",INDEX(Lotes!$Y$5:$Y$204,MATCH(7,Lotes!$AA$5:$AA$204,0))))</x:f>
      </x:c>
      <x:c r="F32" s="196"/>
      <x:c r="G32" s="196"/>
      <x:c r="H32" s="196" t="str">
        <x:f>IF(COUNTIFS(Lotes!$AA$5:$AA$204,7)=0,"",IF(INDEX(Lotes!$AB$5:$AB$204,MATCH(7,Lotes!$AA$5:$AA$204,0))="","",INDEX(Lotes!$AB$5:$AB$204,MATCH(7,Lotes!$AA$5:$AA$204,0))))</x:f>
      </x:c>
      <x:c r="I32" s="196" t="str">
        <x:f>IF(COUNTIFS(Lotes!$AA$5:$AA$204,7)=0,"",IF(INDEX(Lotes!$AC$5:$AC$204,MATCH(7,Lotes!$AA$5:$AA$204,0))="","",INDEX(Lotes!$AC$5:$AC$204,MATCH(7,Lotes!$AA$5:$AA$204,0))))</x:f>
      </x:c>
      <x:c r="J32" s="196"/>
      <x:c r="K32" s="196"/>
      <x:c r="L32" s="197" t="str">
        <x:f>IF(COUNTIFS(Lotes!$AA$5:$AA$204,7)=0,"",IF(INDEX(Lotes!$AH$5:$AH$204,MATCH(7,Lotes!$AA$5:$AA$204,0))&gt;0,"Revisar prazo",IF(INDEX(Lotes!$AD$5:$AD$204,MATCH(7,Lotes!$AA$5:$AA$204,0))="","",INDEX(Lotes!$AD$5:$AD$204,MATCH(7,Lotes!$AA$5:$AA$204,0)))))</x:f>
      </x:c>
      <x:c r="M32" s="198" t="str">
        <x:f>IF(COUNTIFS(Lotes!$AA$5:$AA$204,7)=0,"",IF(INDEX(Lotes!$L$5:$L$204,MATCH(7,Lotes!$AA$5:$AA$204,0))="","",INDEX(Lotes!$L$5:$L$204,MATCH(7,Lotes!$AA$5:$AA$204,0))))</x:f>
      </x:c>
      <x:c r="N32" s="198"/>
      <x:c r="O32"/>
      <x:c r="P32"/>
      <x:c r="Q32"/>
      <x:c r="R32"/>
      <x:c r="S32"/>
      <x:c r="T32"/>
      <x:c r="U32"/>
      <x:c r="V32" s="1"/>
      <x:c r="W32" s="1"/>
    </x:row>
    <x:row r="33" ht="60" customHeight="1">
      <x:c r="A33" s="196" t="str">
        <x:f>IF(COUNTIFS(Lotes!$AA$5:$AA$204,8)=0,"",IF(INDEX(Lotes!$AF$5:$AF$204,MATCH(8,Lotes!$AA$5:$AA$204,0))="","",INDEX(Lotes!$AF$5:$AF$204,MATCH(8,Lotes!$AA$5:$AA$204,0))))</x:f>
      </x:c>
      <x:c r="B33" s="196"/>
      <x:c r="C33" s="196" t="str">
        <x:f>IF(COUNTIFS(Lotes!$AA$5:$AA$204,8)=0,"",IF(INDEX(Lotes!$C$5:$C$204,MATCH(8,Lotes!$AA$5:$AA$204,0))="","",INDEX(Lotes!$C$5:$C$204,MATCH(8,Lotes!$AA$5:$AA$204,0))))</x:f>
      </x:c>
      <x:c r="D33" s="196"/>
      <x:c r="E33" s="196" t="str">
        <x:f>IF(COUNTIFS(Lotes!$AA$5:$AA$204,8)=0,"",IF(INDEX(Lotes!$Y$5:$Y$204,MATCH(8,Lotes!$AA$5:$AA$204,0))="","",INDEX(Lotes!$Y$5:$Y$204,MATCH(8,Lotes!$AA$5:$AA$204,0))))</x:f>
      </x:c>
      <x:c r="F33" s="196"/>
      <x:c r="G33" s="196"/>
      <x:c r="H33" s="196" t="str">
        <x:f>IF(COUNTIFS(Lotes!$AA$5:$AA$204,8)=0,"",IF(INDEX(Lotes!$AB$5:$AB$204,MATCH(8,Lotes!$AA$5:$AA$204,0))="","",INDEX(Lotes!$AB$5:$AB$204,MATCH(8,Lotes!$AA$5:$AA$204,0))))</x:f>
      </x:c>
      <x:c r="I33" s="196" t="str">
        <x:f>IF(COUNTIFS(Lotes!$AA$5:$AA$204,8)=0,"",IF(INDEX(Lotes!$AC$5:$AC$204,MATCH(8,Lotes!$AA$5:$AA$204,0))="","",INDEX(Lotes!$AC$5:$AC$204,MATCH(8,Lotes!$AA$5:$AA$204,0))))</x:f>
      </x:c>
      <x:c r="J33" s="196"/>
      <x:c r="K33" s="196"/>
      <x:c r="L33" s="197" t="str">
        <x:f>IF(COUNTIFS(Lotes!$AA$5:$AA$204,8)=0,"",IF(INDEX(Lotes!$AH$5:$AH$204,MATCH(8,Lotes!$AA$5:$AA$204,0))&gt;0,"Revisar prazo",IF(INDEX(Lotes!$AD$5:$AD$204,MATCH(8,Lotes!$AA$5:$AA$204,0))="","",INDEX(Lotes!$AD$5:$AD$204,MATCH(8,Lotes!$AA$5:$AA$204,0)))))</x:f>
      </x:c>
      <x:c r="M33" s="198" t="str">
        <x:f>IF(COUNTIFS(Lotes!$AA$5:$AA$204,8)=0,"",IF(INDEX(Lotes!$L$5:$L$204,MATCH(8,Lotes!$AA$5:$AA$204,0))="","",INDEX(Lotes!$L$5:$L$204,MATCH(8,Lotes!$AA$5:$AA$204,0))))</x:f>
      </x:c>
      <x:c r="N33" s="198"/>
      <x:c r="O33"/>
      <x:c r="P33"/>
      <x:c r="Q33"/>
      <x:c r="R33"/>
      <x:c r="S33"/>
      <x:c r="T33"/>
      <x:c r="U33"/>
      <x:c r="V33" s="1"/>
      <x:c r="W33" s="1"/>
    </x:row>
    <x:row r="34" ht="60" customHeight="1">
      <x:c r="A34" s="196" t="str">
        <x:f>IF(COUNTIFS(Lotes!$AA$5:$AA$204,9)=0,"",IF(INDEX(Lotes!$AF$5:$AF$204,MATCH(9,Lotes!$AA$5:$AA$204,0))="","",INDEX(Lotes!$AF$5:$AF$204,MATCH(9,Lotes!$AA$5:$AA$204,0))))</x:f>
      </x:c>
      <x:c r="B34" s="196"/>
      <x:c r="C34" s="196" t="str">
        <x:f>IF(COUNTIFS(Lotes!$AA$5:$AA$204,9)=0,"",IF(INDEX(Lotes!$C$5:$C$204,MATCH(9,Lotes!$AA$5:$AA$204,0))="","",INDEX(Lotes!$C$5:$C$204,MATCH(9,Lotes!$AA$5:$AA$204,0))))</x:f>
      </x:c>
      <x:c r="D34" s="196"/>
      <x:c r="E34" s="196" t="str">
        <x:f>IF(COUNTIFS(Lotes!$AA$5:$AA$204,9)=0,"",IF(INDEX(Lotes!$Y$5:$Y$204,MATCH(9,Lotes!$AA$5:$AA$204,0))="","",INDEX(Lotes!$Y$5:$Y$204,MATCH(9,Lotes!$AA$5:$AA$204,0))))</x:f>
      </x:c>
      <x:c r="F34" s="196"/>
      <x:c r="G34" s="196"/>
      <x:c r="H34" s="196" t="str">
        <x:f>IF(COUNTIFS(Lotes!$AA$5:$AA$204,9)=0,"",IF(INDEX(Lotes!$AB$5:$AB$204,MATCH(9,Lotes!$AA$5:$AA$204,0))="","",INDEX(Lotes!$AB$5:$AB$204,MATCH(9,Lotes!$AA$5:$AA$204,0))))</x:f>
      </x:c>
      <x:c r="I34" s="196" t="str">
        <x:f>IF(COUNTIFS(Lotes!$AA$5:$AA$204,9)=0,"",IF(INDEX(Lotes!$AC$5:$AC$204,MATCH(9,Lotes!$AA$5:$AA$204,0))="","",INDEX(Lotes!$AC$5:$AC$204,MATCH(9,Lotes!$AA$5:$AA$204,0))))</x:f>
      </x:c>
      <x:c r="J34" s="196"/>
      <x:c r="K34" s="196"/>
      <x:c r="L34" s="197" t="str">
        <x:f>IF(COUNTIFS(Lotes!$AA$5:$AA$204,9)=0,"",IF(INDEX(Lotes!$AH$5:$AH$204,MATCH(9,Lotes!$AA$5:$AA$204,0))&gt;0,"Revisar prazo",IF(INDEX(Lotes!$AD$5:$AD$204,MATCH(9,Lotes!$AA$5:$AA$204,0))="","",INDEX(Lotes!$AD$5:$AD$204,MATCH(9,Lotes!$AA$5:$AA$204,0)))))</x:f>
      </x:c>
      <x:c r="M34" s="198" t="str">
        <x:f>IF(COUNTIFS(Lotes!$AA$5:$AA$204,9)=0,"",IF(INDEX(Lotes!$L$5:$L$204,MATCH(9,Lotes!$AA$5:$AA$204,0))="","",INDEX(Lotes!$L$5:$L$204,MATCH(9,Lotes!$AA$5:$AA$204,0))))</x:f>
      </x:c>
      <x:c r="N34" s="198"/>
      <x:c r="O34"/>
      <x:c r="P34"/>
      <x:c r="Q34"/>
      <x:c r="R34"/>
      <x:c r="S34"/>
      <x:c r="T34"/>
      <x:c r="U34"/>
      <x:c r="V34" s="1"/>
      <x:c r="W34" s="1"/>
    </x:row>
    <x:row r="35" ht="60" customHeight="1">
      <x:c r="A35" s="196" t="str">
        <x:f>IF(COUNTIFS(Lotes!$AA$5:$AA$204,10)=0,"",IF(INDEX(Lotes!$AF$5:$AF$204,MATCH(10,Lotes!$AA$5:$AA$204,0))="","",INDEX(Lotes!$AF$5:$AF$204,MATCH(10,Lotes!$AA$5:$AA$204,0))))</x:f>
      </x:c>
      <x:c r="B35" s="196"/>
      <x:c r="C35" s="196" t="str">
        <x:f>IF(COUNTIFS(Lotes!$AA$5:$AA$204,10)=0,"",IF(INDEX(Lotes!$C$5:$C$204,MATCH(10,Lotes!$AA$5:$AA$204,0))="","",INDEX(Lotes!$C$5:$C$204,MATCH(10,Lotes!$AA$5:$AA$204,0))))</x:f>
      </x:c>
      <x:c r="D35" s="196"/>
      <x:c r="E35" s="196" t="str">
        <x:f>IF(COUNTIFS(Lotes!$AA$5:$AA$204,10)=0,"",IF(INDEX(Lotes!$Y$5:$Y$204,MATCH(10,Lotes!$AA$5:$AA$204,0))="","",INDEX(Lotes!$Y$5:$Y$204,MATCH(10,Lotes!$AA$5:$AA$204,0))))</x:f>
      </x:c>
      <x:c r="F35" s="196"/>
      <x:c r="G35" s="196"/>
      <x:c r="H35" s="196" t="str">
        <x:f>IF(COUNTIFS(Lotes!$AA$5:$AA$204,10)=0,"",IF(INDEX(Lotes!$AB$5:$AB$204,MATCH(10,Lotes!$AA$5:$AA$204,0))="","",INDEX(Lotes!$AB$5:$AB$204,MATCH(10,Lotes!$AA$5:$AA$204,0))))</x:f>
      </x:c>
      <x:c r="I35" s="196" t="str">
        <x:f>IF(COUNTIFS(Lotes!$AA$5:$AA$204,10)=0,"",IF(INDEX(Lotes!$AC$5:$AC$204,MATCH(10,Lotes!$AA$5:$AA$204,0))="","",INDEX(Lotes!$AC$5:$AC$204,MATCH(10,Lotes!$AA$5:$AA$204,0))))</x:f>
      </x:c>
      <x:c r="J35" s="196"/>
      <x:c r="K35" s="196"/>
      <x:c r="L35" s="197" t="str">
        <x:f>IF(COUNTIFS(Lotes!$AA$5:$AA$204,10)=0,"",IF(INDEX(Lotes!$AH$5:$AH$204,MATCH(10,Lotes!$AA$5:$AA$204,0))&gt;0,"Revisar prazo",IF(INDEX(Lotes!$AD$5:$AD$204,MATCH(10,Lotes!$AA$5:$AA$204,0))="","",INDEX(Lotes!$AD$5:$AD$204,MATCH(10,Lotes!$AA$5:$AA$204,0)))))</x:f>
      </x:c>
      <x:c r="M35" s="198" t="str">
        <x:f>IF(COUNTIFS(Lotes!$AA$5:$AA$204,10)=0,"",IF(INDEX(Lotes!$L$5:$L$204,MATCH(10,Lotes!$AA$5:$AA$204,0))="","",INDEX(Lotes!$L$5:$L$204,MATCH(10,Lotes!$AA$5:$AA$204,0))))</x:f>
      </x:c>
      <x:c r="N35" s="198"/>
      <x:c r="O35"/>
      <x:c r="P35"/>
      <x:c r="Q35"/>
      <x:c r="R35"/>
      <x:c r="S35"/>
      <x:c r="T35"/>
      <x:c r="U35"/>
      <x:c r="V35" s="1"/>
      <x:c r="W35" s="1"/>
    </x:row>
    <x:row r="36" ht="22" customHeight="1">
      <x:c r="A36" s="184"/>
      <x:c r="B36" s="184"/>
      <x:c r="C36" s="184"/>
      <x:c r="D36" s="184"/>
      <x:c r="E36" s="184"/>
      <x:c r="F36" s="184"/>
      <x:c r="G36" s="184"/>
      <x:c r="H36" s="184"/>
      <x:c r="I36" s="184"/>
      <x:c r="J36" s="184"/>
      <x:c r="K36" s="184"/>
      <x:c r="L36" s="184"/>
      <x:c r="M36" s="184"/>
      <x:c r="N36" s="184"/>
      <x:c r="O36"/>
      <x:c r="P36"/>
      <x:c r="Q36"/>
      <x:c r="R36"/>
      <x:c r="S36"/>
      <x:c r="T36"/>
      <x:c r="U36"/>
      <x:c r="V36" s="1"/>
      <x:c r="W36" s="1"/>
    </x:row>
    <x:row r="37" ht="22" customHeight="1">
      <x:c r="A37" s="193" t="str">
        <x:v>Edite responsável, próxima ação e prazo em Lotes AB:AD. Motivos independentes; empates seguem o cadastro. FEFO só entre lotes utilizáveis do mesmo SKU, pela menor validade.</x:v>
      </x:c>
      <x:c r="B37" s="193"/>
      <x:c r="C37" s="193"/>
      <x:c r="D37" s="193"/>
      <x:c r="E37" s="193"/>
      <x:c r="F37" s="193"/>
      <x:c r="G37" s="193"/>
      <x:c r="H37" s="193"/>
      <x:c r="I37" s="193"/>
      <x:c r="J37" s="193"/>
      <x:c r="K37" s="193"/>
      <x:c r="L37" s="193"/>
      <x:c r="M37" s="193"/>
      <x:c r="N37" s="193"/>
      <x:c r="O37"/>
      <x:c r="P37"/>
      <x:c r="Q37"/>
      <x:c r="R37"/>
      <x:c r="S37"/>
      <x:c r="T37"/>
      <x:c r="U37"/>
      <x:c r="V37" s="1"/>
      <x:c r="W37" s="1"/>
    </x:row>
    <x:row r="38" ht="22" customHeight="1">
      <x:c r="A38" s="193"/>
      <x:c r="B38" s="193"/>
      <x:c r="C38" s="193"/>
      <x:c r="D38" s="193"/>
      <x:c r="E38" s="193"/>
      <x:c r="F38" s="193"/>
      <x:c r="G38" s="193"/>
      <x:c r="H38" s="193"/>
      <x:c r="I38" s="193"/>
      <x:c r="J38" s="193"/>
      <x:c r="K38" s="193"/>
      <x:c r="L38" s="193"/>
      <x:c r="M38" s="193"/>
      <x:c r="N38" s="193"/>
      <x:c r="O38"/>
      <x:c r="P38"/>
      <x:c r="Q38"/>
      <x:c r="R38"/>
      <x:c r="S38"/>
      <x:c r="T38"/>
      <x:c r="U38"/>
      <x:c r="V38" s="1"/>
      <x:c r="W38" s="1"/>
    </x:row>
    <x:row r="39" ht="22" customHeight="1">
      <x:c r="A39" s="184"/>
      <x:c r="B39" s="184"/>
      <x:c r="C39" s="184"/>
      <x:c r="D39" s="184"/>
      <x:c r="E39" s="184"/>
      <x:c r="F39" s="184"/>
      <x:c r="G39" s="184"/>
      <x:c r="H39" s="184"/>
      <x:c r="I39" s="184"/>
      <x:c r="J39" s="184"/>
      <x:c r="K39" s="184"/>
      <x:c r="L39" s="184"/>
      <x:c r="M39" s="184"/>
      <x:c r="N39" s="184"/>
      <x:c r="O39"/>
      <x:c r="P39"/>
      <x:c r="Q39"/>
      <x:c r="R39"/>
      <x:c r="S39"/>
      <x:c r="T39"/>
      <x:c r="U39"/>
      <x:c r="V39" s="1"/>
      <x:c r="W39" s="1"/>
    </x:row>
    <x:row r="40" ht="28" customHeight="1">
      <x:c r="A40" s="194" t="str">
        <x:v>Quantidades por SKU e unidade: até dez linhas do contexto</x:v>
      </x:c>
      <x:c r="B40" s="194"/>
      <x:c r="C40" s="194"/>
      <x:c r="D40" s="194"/>
      <x:c r="E40" s="194"/>
      <x:c r="F40" s="194"/>
      <x:c r="G40" s="194"/>
      <x:c r="H40" s="194"/>
      <x:c r="I40" s="194"/>
      <x:c r="J40" s="194"/>
      <x:c r="K40" s="194"/>
      <x:c r="L40" s="194"/>
      <x:c r="M40" s="194"/>
      <x:c r="N40" s="194"/>
      <x:c r="O40"/>
      <x:c r="P40"/>
      <x:c r="Q40"/>
      <x:c r="R40"/>
      <x:c r="S40"/>
      <x:c r="T40"/>
      <x:c r="U40"/>
      <x:c r="V40" s="1"/>
      <x:c r="W40" s="1"/>
    </x:row>
    <x:row r="41" ht="30" customHeight="1">
      <x:c r="A41" s="194" t="str">
        <x:v>SKU</x:v>
      </x:c>
      <x:c r="B41" s="194"/>
      <x:c r="C41" s="194" t="str">
        <x:v>Produto</x:v>
      </x:c>
      <x:c r="D41" s="194"/>
      <x:c r="E41" s="194"/>
      <x:c r="F41" s="194" t="str">
        <x:v>Unid.</x:v>
      </x:c>
      <x:c r="G41" s="194" t="str">
        <x:v>Físico</x:v>
      </x:c>
      <x:c r="H41" s="194"/>
      <x:c r="I41" s="194" t="str">
        <x:v>Utilizável</x:v>
      </x:c>
      <x:c r="J41" s="194"/>
      <x:c r="K41" s="194" t="str">
        <x:v>Mínimo</x:v>
      </x:c>
      <x:c r="L41" s="194"/>
      <x:c r="M41" s="194" t="str">
        <x:v>Reposição</x:v>
      </x:c>
      <x:c r="N41" s="194"/>
      <x:c r="O41"/>
      <x:c r="P41"/>
      <x:c r="Q41"/>
      <x:c r="R41"/>
      <x:c r="S41"/>
      <x:c r="T41"/>
      <x:c r="U41"/>
      <x:c r="V41" s="1"/>
      <x:c r="W41" s="1"/>
    </x:row>
    <x:row r="42" ht="32" customHeight="1">
      <x:c r="A42" s="193" t="str">
        <x:f>IF(COUNTIFS(Produtos!$T$5:$T$204,1)=0,"",INDEX(Produtos!$A$5:$A$204,MATCH(1,Produtos!$T$5:$T$204,0)))</x:f>
        <x:v>SKU-001</x:v>
      </x:c>
      <x:c r="B42" s="193"/>
      <x:c r="C42" s="193" t="str">
        <x:f>IF(COUNTIFS(Produtos!$T$5:$T$204,1)=0,"",INDEX(Produtos!$B$5:$B$204,MATCH(1,Produtos!$T$5:$T$204,0)))</x:f>
        <x:v>Iogurte natural 170 g</x:v>
      </x:c>
      <x:c r="D42" s="193"/>
      <x:c r="E42" s="193"/>
      <x:c r="F42" s="193" t="str">
        <x:f>IF(COUNTIFS(Produtos!$T$5:$T$204,1)=0,"",INDEX(Produtos!$D$5:$D$204,MATCH(1,Produtos!$T$5:$T$204,0)))</x:f>
        <x:v>un</x:v>
      </x:c>
      <x:c r="G42" s="199" t="n">
        <x:f>IF(COUNTIFS(Produtos!$T$5:$T$204,1)=0,"",INDEX(Produtos!$I$5:$I$204,MATCH(1,Produtos!$T$5:$T$204,0)))</x:f>
        <x:v>350</x:v>
      </x:c>
      <x:c r="H42" s="199"/>
      <x:c r="I42" s="199" t="n">
        <x:f>IF(COUNTIFS(Produtos!$T$5:$T$204,1)=0,"",INDEX(Produtos!$Q$5:$Q$204,MATCH(1,Produtos!$T$5:$T$204,0)))</x:f>
        <x:v>290</x:v>
      </x:c>
      <x:c r="J42" s="199"/>
      <x:c r="K42" s="199" t="n">
        <x:f>IF(COUNTIFS(Produtos!$T$5:$T$204,1)=0,"",INDEX(Produtos!$F$5:$F$204,MATCH(1,Produtos!$T$5:$T$204,0)))</x:f>
        <x:v>180</x:v>
      </x:c>
      <x:c r="L42" s="199"/>
      <x:c r="M42" s="193" t="str">
        <x:f>IF(COUNTIFS(Produtos!$T$5:$T$204,1)=0,"",INDEX(Produtos!$N$5:$N$204,MATCH(1,Produtos!$T$5:$T$204,0)))</x:f>
        <x:v>OK</x:v>
      </x:c>
      <x:c r="N42" s="193"/>
      <x:c r="O42"/>
      <x:c r="P42"/>
      <x:c r="Q42"/>
      <x:c r="R42"/>
      <x:c r="S42"/>
      <x:c r="T42"/>
      <x:c r="U42"/>
      <x:c r="V42" s="1"/>
      <x:c r="W42" s="1"/>
    </x:row>
    <x:row r="43" ht="32" customHeight="1">
      <x:c r="A43" s="193" t="str">
        <x:f>IF(COUNTIFS(Produtos!$T$5:$T$204,2)=0,"",INDEX(Produtos!$A$5:$A$204,MATCH(2,Produtos!$T$5:$T$204,0)))</x:f>
        <x:v>SKU-002</x:v>
      </x:c>
      <x:c r="B43" s="193"/>
      <x:c r="C43" s="193" t="str">
        <x:f>IF(COUNTIFS(Produtos!$T$5:$T$204,2)=0,"",INDEX(Produtos!$B$5:$B$204,MATCH(2,Produtos!$T$5:$T$204,0)))</x:f>
        <x:v>Suco integral 1 L</x:v>
      </x:c>
      <x:c r="D43" s="193"/>
      <x:c r="E43" s="193"/>
      <x:c r="F43" s="193" t="str">
        <x:f>IF(COUNTIFS(Produtos!$T$5:$T$204,2)=0,"",INDEX(Produtos!$D$5:$D$204,MATCH(2,Produtos!$T$5:$T$204,0)))</x:f>
        <x:v>cx</x:v>
      </x:c>
      <x:c r="G43" s="199" t="n">
        <x:f>IF(COUNTIFS(Produtos!$T$5:$T$204,2)=0,"",INDEX(Produtos!$I$5:$I$204,MATCH(2,Produtos!$T$5:$T$204,0)))</x:f>
        <x:v>28</x:v>
      </x:c>
      <x:c r="H43" s="199"/>
      <x:c r="I43" s="199" t="n">
        <x:f>IF(COUNTIFS(Produtos!$T$5:$T$204,2)=0,"",INDEX(Produtos!$Q$5:$Q$204,MATCH(2,Produtos!$T$5:$T$204,0)))</x:f>
        <x:v>28</x:v>
      </x:c>
      <x:c r="J43" s="199"/>
      <x:c r="K43" s="199" t="n">
        <x:f>IF(COUNTIFS(Produtos!$T$5:$T$204,2)=0,"",INDEX(Produtos!$F$5:$F$204,MATCH(2,Produtos!$T$5:$T$204,0)))</x:f>
        <x:v>40</x:v>
      </x:c>
      <x:c r="L43" s="199"/>
      <x:c r="M43" s="193" t="str">
        <x:f>IF(COUNTIFS(Produtos!$T$5:$T$204,2)=0,"",INDEX(Produtos!$N$5:$N$204,MATCH(2,Produtos!$T$5:$T$204,0)))</x:f>
        <x:v>REPOR</x:v>
      </x:c>
      <x:c r="N43" s="193"/>
      <x:c r="O43"/>
      <x:c r="P43"/>
      <x:c r="Q43"/>
      <x:c r="R43"/>
      <x:c r="S43"/>
      <x:c r="T43"/>
      <x:c r="U43"/>
      <x:c r="V43" s="1"/>
      <x:c r="W43" s="1"/>
    </x:row>
    <x:row r="44" ht="32" customHeight="1">
      <x:c r="A44" s="193" t="str">
        <x:f>IF(COUNTIFS(Produtos!$T$5:$T$204,3)=0,"",INDEX(Produtos!$A$5:$A$204,MATCH(3,Produtos!$T$5:$T$204,0)))</x:f>
        <x:v>SKU-003</x:v>
      </x:c>
      <x:c r="B44" s="193"/>
      <x:c r="C44" s="193" t="str">
        <x:f>IF(COUNTIFS(Produtos!$T$5:$T$204,3)=0,"",INDEX(Produtos!$B$5:$B$204,MATCH(3,Produtos!$T$5:$T$204,0)))</x:f>
        <x:v>Álcool 70% 500 ml</x:v>
      </x:c>
      <x:c r="D44" s="193"/>
      <x:c r="E44" s="193"/>
      <x:c r="F44" s="193" t="str">
        <x:f>IF(COUNTIFS(Produtos!$T$5:$T$204,3)=0,"",INDEX(Produtos!$D$5:$D$204,MATCH(3,Produtos!$T$5:$T$204,0)))</x:f>
        <x:v>un</x:v>
      </x:c>
      <x:c r="G44" s="199" t="n">
        <x:f>IF(COUNTIFS(Produtos!$T$5:$T$204,3)=0,"",INDEX(Produtos!$I$5:$I$204,MATCH(3,Produtos!$T$5:$T$204,0)))</x:f>
        <x:v>45</x:v>
      </x:c>
      <x:c r="H44" s="199"/>
      <x:c r="I44" s="199" t="n">
        <x:f>IF(COUNTIFS(Produtos!$T$5:$T$204,3)=0,"",INDEX(Produtos!$Q$5:$Q$204,MATCH(3,Produtos!$T$5:$T$204,0)))</x:f>
        <x:v>45</x:v>
      </x:c>
      <x:c r="J44" s="199"/>
      <x:c r="K44" s="199" t="n">
        <x:f>IF(COUNTIFS(Produtos!$T$5:$T$204,3)=0,"",INDEX(Produtos!$F$5:$F$204,MATCH(3,Produtos!$T$5:$T$204,0)))</x:f>
        <x:v>120</x:v>
      </x:c>
      <x:c r="L44" s="199"/>
      <x:c r="M44" s="193" t="str">
        <x:f>IF(COUNTIFS(Produtos!$T$5:$T$204,3)=0,"",INDEX(Produtos!$N$5:$N$204,MATCH(3,Produtos!$T$5:$T$204,0)))</x:f>
        <x:v>REPOR</x:v>
      </x:c>
      <x:c r="N44" s="193"/>
      <x:c r="O44"/>
      <x:c r="P44"/>
      <x:c r="Q44"/>
      <x:c r="R44"/>
      <x:c r="S44"/>
      <x:c r="T44"/>
      <x:c r="U44"/>
      <x:c r="V44" s="1"/>
      <x:c r="W44" s="1"/>
    </x:row>
    <x:row r="45" ht="32" customHeight="1">
      <x:c r="A45" s="193" t="str">
        <x:f>IF(COUNTIFS(Produtos!$T$5:$T$204,4)=0,"",INDEX(Produtos!$A$5:$A$204,MATCH(4,Produtos!$T$5:$T$204,0)))</x:f>
        <x:v>SKU-004</x:v>
      </x:c>
      <x:c r="B45" s="193"/>
      <x:c r="C45" s="193" t="str">
        <x:f>IF(COUNTIFS(Produtos!$T$5:$T$204,4)=0,"",INDEX(Produtos!$B$5:$B$204,MATCH(4,Produtos!$T$5:$T$204,0)))</x:f>
        <x:v>Detergente neutro 500 ml</x:v>
      </x:c>
      <x:c r="D45" s="193"/>
      <x:c r="E45" s="193"/>
      <x:c r="F45" s="193" t="str">
        <x:f>IF(COUNTIFS(Produtos!$T$5:$T$204,4)=0,"",INDEX(Produtos!$D$5:$D$204,MATCH(4,Produtos!$T$5:$T$204,0)))</x:f>
        <x:v>un</x:v>
      </x:c>
      <x:c r="G45" s="199" t="n">
        <x:f>IF(COUNTIFS(Produtos!$T$5:$T$204,4)=0,"",INDEX(Produtos!$I$5:$I$204,MATCH(4,Produtos!$T$5:$T$204,0)))</x:f>
        <x:v>30</x:v>
      </x:c>
      <x:c r="H45" s="199"/>
      <x:c r="I45" s="199" t="n">
        <x:f>IF(COUNTIFS(Produtos!$T$5:$T$204,4)=0,"",INDEX(Produtos!$Q$5:$Q$204,MATCH(4,Produtos!$T$5:$T$204,0)))</x:f>
        <x:v>0</x:v>
      </x:c>
      <x:c r="J45" s="199"/>
      <x:c r="K45" s="199" t="n">
        <x:f>IF(COUNTIFS(Produtos!$T$5:$T$204,4)=0,"",INDEX(Produtos!$F$5:$F$204,MATCH(4,Produtos!$T$5:$T$204,0)))</x:f>
        <x:v>150</x:v>
      </x:c>
      <x:c r="L45" s="199"/>
      <x:c r="M45" s="193" t="str">
        <x:f>IF(COUNTIFS(Produtos!$T$5:$T$204,4)=0,"",INDEX(Produtos!$N$5:$N$204,MATCH(4,Produtos!$T$5:$T$204,0)))</x:f>
        <x:v>REPOR</x:v>
      </x:c>
      <x:c r="N45" s="193"/>
      <x:c r="O45"/>
      <x:c r="P45"/>
      <x:c r="Q45"/>
      <x:c r="R45"/>
      <x:c r="S45"/>
      <x:c r="T45"/>
      <x:c r="U45"/>
      <x:c r="V45" s="1"/>
      <x:c r="W45" s="1"/>
    </x:row>
    <x:row r="46" ht="32" customHeight="1">
      <x:c r="A46" s="193" t="str">
        <x:f>IF(COUNTIFS(Produtos!$T$5:$T$204,5)=0,"",INDEX(Produtos!$A$5:$A$204,MATCH(5,Produtos!$T$5:$T$204,0)))</x:f>
        <x:v>SKU-005</x:v>
      </x:c>
      <x:c r="B46" s="193"/>
      <x:c r="C46" s="193" t="str">
        <x:f>IF(COUNTIFS(Produtos!$T$5:$T$204,5)=0,"",INDEX(Produtos!$B$5:$B$204,MATCH(5,Produtos!$T$5:$T$204,0)))</x:f>
        <x:v>Vitamina C 30 cápsulas</x:v>
      </x:c>
      <x:c r="D46" s="193"/>
      <x:c r="E46" s="193"/>
      <x:c r="F46" s="193" t="str">
        <x:f>IF(COUNTIFS(Produtos!$T$5:$T$204,5)=0,"",INDEX(Produtos!$D$5:$D$204,MATCH(5,Produtos!$T$5:$T$204,0)))</x:f>
        <x:v>un</x:v>
      </x:c>
      <x:c r="G46" s="199" t="n">
        <x:f>IF(COUNTIFS(Produtos!$T$5:$T$204,5)=0,"",INDEX(Produtos!$I$5:$I$204,MATCH(5,Produtos!$T$5:$T$204,0)))</x:f>
        <x:v>120</x:v>
      </x:c>
      <x:c r="H46" s="199"/>
      <x:c r="I46" s="199" t="n">
        <x:f>IF(COUNTIFS(Produtos!$T$5:$T$204,5)=0,"",INDEX(Produtos!$Q$5:$Q$204,MATCH(5,Produtos!$T$5:$T$204,0)))</x:f>
        <x:v>0</x:v>
      </x:c>
      <x:c r="J46" s="199"/>
      <x:c r="K46" s="199" t="n">
        <x:f>IF(COUNTIFS(Produtos!$T$5:$T$204,5)=0,"",INDEX(Produtos!$F$5:$F$204,MATCH(5,Produtos!$T$5:$T$204,0)))</x:f>
        <x:v>80</x:v>
      </x:c>
      <x:c r="L46" s="199"/>
      <x:c r="M46" s="193" t="str">
        <x:f>IF(COUNTIFS(Produtos!$T$5:$T$204,5)=0,"",INDEX(Produtos!$N$5:$N$204,MATCH(5,Produtos!$T$5:$T$204,0)))</x:f>
        <x:v>REPOR</x:v>
      </x:c>
      <x:c r="N46" s="193"/>
      <x:c r="O46"/>
      <x:c r="P46"/>
      <x:c r="Q46"/>
      <x:c r="R46"/>
      <x:c r="S46"/>
      <x:c r="T46"/>
      <x:c r="U46"/>
      <x:c r="V46" s="1"/>
      <x:c r="W46" s="1"/>
    </x:row>
    <x:row r="47" ht="32" customHeight="1">
      <x:c r="A47" s="193" t="str">
        <x:f>IF(COUNTIFS(Produtos!$T$5:$T$204,6)=0,"",INDEX(Produtos!$A$5:$A$204,MATCH(6,Produtos!$T$5:$T$204,0)))</x:f>
        <x:v>SKU-006</x:v>
      </x:c>
      <x:c r="B47" s="193"/>
      <x:c r="C47" s="193" t="str">
        <x:f>IF(COUNTIFS(Produtos!$T$5:$T$204,6)=0,"",INDEX(Produtos!$B$5:$B$204,MATCH(6,Produtos!$T$5:$T$204,0)))</x:f>
        <x:v>Protetor solar FPS 50</x:v>
      </x:c>
      <x:c r="D47" s="193"/>
      <x:c r="E47" s="193"/>
      <x:c r="F47" s="193" t="str">
        <x:f>IF(COUNTIFS(Produtos!$T$5:$T$204,6)=0,"",INDEX(Produtos!$D$5:$D$204,MATCH(6,Produtos!$T$5:$T$204,0)))</x:f>
        <x:v>un</x:v>
      </x:c>
      <x:c r="G47" s="199" t="n">
        <x:f>IF(COUNTIFS(Produtos!$T$5:$T$204,6)=0,"",INDEX(Produtos!$I$5:$I$204,MATCH(6,Produtos!$T$5:$T$204,0)))</x:f>
        <x:v>95</x:v>
      </x:c>
      <x:c r="H47" s="199"/>
      <x:c r="I47" s="199" t="n">
        <x:f>IF(COUNTIFS(Produtos!$T$5:$T$204,6)=0,"",INDEX(Produtos!$Q$5:$Q$204,MATCH(6,Produtos!$T$5:$T$204,0)))</x:f>
        <x:v>95</x:v>
      </x:c>
      <x:c r="J47" s="199"/>
      <x:c r="K47" s="199" t="n">
        <x:f>IF(COUNTIFS(Produtos!$T$5:$T$204,6)=0,"",INDEX(Produtos!$F$5:$F$204,MATCH(6,Produtos!$T$5:$T$204,0)))</x:f>
        <x:v>60</x:v>
      </x:c>
      <x:c r="L47" s="199"/>
      <x:c r="M47" s="193" t="str">
        <x:f>IF(COUNTIFS(Produtos!$T$5:$T$204,6)=0,"",INDEX(Produtos!$N$5:$N$204,MATCH(6,Produtos!$T$5:$T$204,0)))</x:f>
        <x:v>OK</x:v>
      </x:c>
      <x:c r="N47" s="193"/>
      <x:c r="O47"/>
      <x:c r="P47"/>
      <x:c r="Q47"/>
      <x:c r="R47"/>
      <x:c r="S47"/>
      <x:c r="T47"/>
      <x:c r="U47"/>
      <x:c r="V47" s="1"/>
      <x:c r="W47" s="1"/>
    </x:row>
    <x:row r="48" ht="32" customHeight="1">
      <x:c r="A48" s="193" t="str">
        <x:f>IF(COUNTIFS(Produtos!$T$5:$T$204,7)=0,"",INDEX(Produtos!$A$5:$A$204,MATCH(7,Produtos!$T$5:$T$204,0)))</x:f>
        <x:v>SKU-007</x:v>
      </x:c>
      <x:c r="B48" s="193"/>
      <x:c r="C48" s="193" t="str">
        <x:f>IF(COUNTIFS(Produtos!$T$5:$T$204,7)=0,"",INDEX(Produtos!$B$5:$B$204,MATCH(7,Produtos!$T$5:$T$204,0)))</x:f>
        <x:v>Ração premium 10 kg</x:v>
      </x:c>
      <x:c r="D48" s="193"/>
      <x:c r="E48" s="193"/>
      <x:c r="F48" s="193" t="str">
        <x:f>IF(COUNTIFS(Produtos!$T$5:$T$204,7)=0,"",INDEX(Produtos!$D$5:$D$204,MATCH(7,Produtos!$T$5:$T$204,0)))</x:f>
        <x:v>un</x:v>
      </x:c>
      <x:c r="G48" s="199" t="n">
        <x:f>IF(COUNTIFS(Produtos!$T$5:$T$204,7)=0,"",INDEX(Produtos!$I$5:$I$204,MATCH(7,Produtos!$T$5:$T$204,0)))</x:f>
        <x:v>40</x:v>
      </x:c>
      <x:c r="H48" s="199"/>
      <x:c r="I48" s="199" t="n">
        <x:f>IF(COUNTIFS(Produtos!$T$5:$T$204,7)=0,"",INDEX(Produtos!$Q$5:$Q$204,MATCH(7,Produtos!$T$5:$T$204,0)))</x:f>
        <x:v>40</x:v>
      </x:c>
      <x:c r="J48" s="199"/>
      <x:c r="K48" s="199" t="n">
        <x:f>IF(COUNTIFS(Produtos!$T$5:$T$204,7)=0,"",INDEX(Produtos!$F$5:$F$204,MATCH(7,Produtos!$T$5:$T$204,0)))</x:f>
        <x:v>25</x:v>
      </x:c>
      <x:c r="L48" s="199"/>
      <x:c r="M48" s="193" t="str">
        <x:f>IF(COUNTIFS(Produtos!$T$5:$T$204,7)=0,"",INDEX(Produtos!$N$5:$N$204,MATCH(7,Produtos!$T$5:$T$204,0)))</x:f>
        <x:v>OK</x:v>
      </x:c>
      <x:c r="N48" s="193"/>
      <x:c r="O48"/>
      <x:c r="P48"/>
      <x:c r="Q48"/>
      <x:c r="R48"/>
      <x:c r="S48"/>
      <x:c r="T48"/>
      <x:c r="U48"/>
      <x:c r="V48" s="1"/>
      <x:c r="W48" s="1"/>
    </x:row>
    <x:row r="49" ht="32" customHeight="1">
      <x:c r="A49" s="193" t="str">
        <x:f>IF(COUNTIFS(Produtos!$T$5:$T$204,8)=0,"",INDEX(Produtos!$A$5:$A$204,MATCH(8,Produtos!$T$5:$T$204,0)))</x:f>
        <x:v>SKU-008</x:v>
      </x:c>
      <x:c r="B49" s="193"/>
      <x:c r="C49" s="193" t="str">
        <x:f>IF(COUNTIFS(Produtos!$T$5:$T$204,8)=0,"",INDEX(Produtos!$B$5:$B$204,MATCH(8,Produtos!$T$5:$T$204,0)))</x:f>
        <x:v>Desinfetante 2 L</x:v>
      </x:c>
      <x:c r="D49" s="193"/>
      <x:c r="E49" s="193"/>
      <x:c r="F49" s="193" t="str">
        <x:f>IF(COUNTIFS(Produtos!$T$5:$T$204,8)=0,"",INDEX(Produtos!$D$5:$D$204,MATCH(8,Produtos!$T$5:$T$204,0)))</x:f>
        <x:v>un</x:v>
      </x:c>
      <x:c r="G49" s="199" t="n">
        <x:f>IF(COUNTIFS(Produtos!$T$5:$T$204,8)=0,"",INDEX(Produtos!$I$5:$I$204,MATCH(8,Produtos!$T$5:$T$204,0)))</x:f>
        <x:v>180</x:v>
      </x:c>
      <x:c r="H49" s="199"/>
      <x:c r="I49" s="199" t="n">
        <x:f>IF(COUNTIFS(Produtos!$T$5:$T$204,8)=0,"",INDEX(Produtos!$Q$5:$Q$204,MATCH(8,Produtos!$T$5:$T$204,0)))</x:f>
        <x:v>180</x:v>
      </x:c>
      <x:c r="J49" s="199"/>
      <x:c r="K49" s="199" t="n">
        <x:f>IF(COUNTIFS(Produtos!$T$5:$T$204,8)=0,"",INDEX(Produtos!$F$5:$F$204,MATCH(8,Produtos!$T$5:$T$204,0)))</x:f>
        <x:v>90</x:v>
      </x:c>
      <x:c r="L49" s="199"/>
      <x:c r="M49" s="193" t="str">
        <x:f>IF(COUNTIFS(Produtos!$T$5:$T$204,8)=0,"",INDEX(Produtos!$N$5:$N$204,MATCH(8,Produtos!$T$5:$T$204,0)))</x:f>
        <x:v>OK</x:v>
      </x:c>
      <x:c r="N49" s="193"/>
      <x:c r="O49"/>
      <x:c r="P49"/>
      <x:c r="Q49"/>
      <x:c r="R49"/>
      <x:c r="S49"/>
      <x:c r="T49"/>
      <x:c r="U49"/>
      <x:c r="V49" s="1"/>
      <x:c r="W49" s="1"/>
    </x:row>
    <x:row r="50" ht="32" customHeight="1">
      <x:c r="A50" s="193" t="str">
        <x:f>IF(COUNTIFS(Produtos!$T$5:$T$204,9)=0,"",INDEX(Produtos!$A$5:$A$204,MATCH(9,Produtos!$T$5:$T$204,0)))</x:f>
      </x:c>
      <x:c r="B50" s="193"/>
      <x:c r="C50" s="193" t="str">
        <x:f>IF(COUNTIFS(Produtos!$T$5:$T$204,9)=0,"",INDEX(Produtos!$B$5:$B$204,MATCH(9,Produtos!$T$5:$T$204,0)))</x:f>
      </x:c>
      <x:c r="D50" s="193"/>
      <x:c r="E50" s="193"/>
      <x:c r="F50" s="193" t="str">
        <x:f>IF(COUNTIFS(Produtos!$T$5:$T$204,9)=0,"",INDEX(Produtos!$D$5:$D$204,MATCH(9,Produtos!$T$5:$T$204,0)))</x:f>
      </x:c>
      <x:c r="G50" s="199" t="str">
        <x:f>IF(COUNTIFS(Produtos!$T$5:$T$204,9)=0,"",INDEX(Produtos!$I$5:$I$204,MATCH(9,Produtos!$T$5:$T$204,0)))</x:f>
      </x:c>
      <x:c r="H50" s="199"/>
      <x:c r="I50" s="199" t="str">
        <x:f>IF(COUNTIFS(Produtos!$T$5:$T$204,9)=0,"",INDEX(Produtos!$Q$5:$Q$204,MATCH(9,Produtos!$T$5:$T$204,0)))</x:f>
      </x:c>
      <x:c r="J50" s="199"/>
      <x:c r="K50" s="199" t="str">
        <x:f>IF(COUNTIFS(Produtos!$T$5:$T$204,9)=0,"",INDEX(Produtos!$F$5:$F$204,MATCH(9,Produtos!$T$5:$T$204,0)))</x:f>
      </x:c>
      <x:c r="L50" s="199"/>
      <x:c r="M50" s="193" t="str">
        <x:f>IF(COUNTIFS(Produtos!$T$5:$T$204,9)=0,"",INDEX(Produtos!$N$5:$N$204,MATCH(9,Produtos!$T$5:$T$204,0)))</x:f>
      </x:c>
      <x:c r="N50" s="193"/>
      <x:c r="O50"/>
      <x:c r="P50"/>
      <x:c r="Q50"/>
      <x:c r="R50"/>
      <x:c r="S50"/>
      <x:c r="T50"/>
      <x:c r="U50"/>
      <x:c r="V50" s="1"/>
      <x:c r="W50" s="1"/>
    </x:row>
    <x:row r="51" ht="32" customHeight="1">
      <x:c r="A51" s="193" t="str">
        <x:f>IF(COUNTIFS(Produtos!$T$5:$T$204,10)=0,"",INDEX(Produtos!$A$5:$A$204,MATCH(10,Produtos!$T$5:$T$204,0)))</x:f>
      </x:c>
      <x:c r="B51" s="193"/>
      <x:c r="C51" s="193" t="str">
        <x:f>IF(COUNTIFS(Produtos!$T$5:$T$204,10)=0,"",INDEX(Produtos!$B$5:$B$204,MATCH(10,Produtos!$T$5:$T$204,0)))</x:f>
      </x:c>
      <x:c r="D51" s="193"/>
      <x:c r="E51" s="193"/>
      <x:c r="F51" s="193" t="str">
        <x:f>IF(COUNTIFS(Produtos!$T$5:$T$204,10)=0,"",INDEX(Produtos!$D$5:$D$204,MATCH(10,Produtos!$T$5:$T$204,0)))</x:f>
      </x:c>
      <x:c r="G51" s="199" t="str">
        <x:f>IF(COUNTIFS(Produtos!$T$5:$T$204,10)=0,"",INDEX(Produtos!$I$5:$I$204,MATCH(10,Produtos!$T$5:$T$204,0)))</x:f>
      </x:c>
      <x:c r="H51" s="199"/>
      <x:c r="I51" s="199" t="str">
        <x:f>IF(COUNTIFS(Produtos!$T$5:$T$204,10)=0,"",INDEX(Produtos!$Q$5:$Q$204,MATCH(10,Produtos!$T$5:$T$204,0)))</x:f>
      </x:c>
      <x:c r="J51" s="199"/>
      <x:c r="K51" s="199" t="str">
        <x:f>IF(COUNTIFS(Produtos!$T$5:$T$204,10)=0,"",INDEX(Produtos!$F$5:$F$204,MATCH(10,Produtos!$T$5:$T$204,0)))</x:f>
      </x:c>
      <x:c r="L51" s="199"/>
      <x:c r="M51" s="193" t="str">
        <x:f>IF(COUNTIFS(Produtos!$T$5:$T$204,10)=0,"",INDEX(Produtos!$N$5:$N$204,MATCH(10,Produtos!$T$5:$T$204,0)))</x:f>
      </x:c>
      <x:c r="N51" s="193"/>
      <x:c r="O51"/>
      <x:c r="P51"/>
      <x:c r="Q51"/>
      <x:c r="R51"/>
      <x:c r="S51"/>
      <x:c r="T51"/>
      <x:c r="U51"/>
      <x:c r="V51" s="1"/>
      <x:c r="W51" s="1"/>
    </x:row>
    <x:row r="52" ht="22" customHeight="1">
      <x:c r="A52" s="184"/>
      <x:c r="B52" s="184"/>
      <x:c r="C52" s="184"/>
      <x:c r="D52" s="184"/>
      <x:c r="E52" s="184"/>
      <x:c r="F52" s="184"/>
      <x:c r="G52" s="184"/>
      <x:c r="H52" s="184"/>
      <x:c r="I52" s="184"/>
      <x:c r="J52" s="184"/>
      <x:c r="K52" s="184"/>
      <x:c r="L52" s="184"/>
      <x:c r="M52" s="184"/>
      <x:c r="N52" s="184"/>
      <x:c r="O52"/>
      <x:c r="P52"/>
      <x:c r="Q52"/>
      <x:c r="R52"/>
      <x:c r="S52"/>
      <x:c r="T52"/>
      <x:c r="U52"/>
      <x:c r="V52" s="1"/>
      <x:c r="W52" s="1"/>
    </x:row>
    <x:row r="53" ht="22" customHeight="1">
      <x:c r="A53" s="193" t="str">
        <x:v>Saldos por SKU seguem o cadastro; demais registros em Produtos. Movimentos até a análise, com custo e status atuais do lote. Versão2.0. Importação testada no Google Planilhas. Excel nativo não testado.</x:v>
      </x:c>
      <x:c r="B53" s="193"/>
      <x:c r="C53" s="193"/>
      <x:c r="D53" s="193"/>
      <x:c r="E53" s="193"/>
      <x:c r="F53" s="193"/>
      <x:c r="G53" s="193"/>
      <x:c r="H53" s="193"/>
      <x:c r="I53" s="193"/>
      <x:c r="J53" s="193"/>
      <x:c r="K53" s="193"/>
      <x:c r="L53" s="193"/>
      <x:c r="M53" s="193"/>
      <x:c r="N53" s="193"/>
      <x:c r="O53"/>
      <x:c r="P53"/>
      <x:c r="Q53"/>
      <x:c r="R53"/>
      <x:c r="S53"/>
      <x:c r="T53"/>
      <x:c r="U53"/>
      <x:c r="V53" s="1"/>
      <x:c r="W53" s="1"/>
    </x:row>
    <x:row r="54" ht="22" customHeight="1">
      <x:c r="A54" s="193"/>
      <x:c r="B54" s="193"/>
      <x:c r="C54" s="193"/>
      <x:c r="D54" s="193"/>
      <x:c r="E54" s="193"/>
      <x:c r="F54" s="193"/>
      <x:c r="G54" s="193"/>
      <x:c r="H54" s="193"/>
      <x:c r="I54" s="193"/>
      <x:c r="J54" s="193"/>
      <x:c r="K54" s="193"/>
      <x:c r="L54" s="193"/>
      <x:c r="M54" s="193"/>
      <x:c r="N54" s="193"/>
      <x:c r="O54"/>
      <x:c r="P54"/>
      <x:c r="Q54"/>
      <x:c r="R54"/>
      <x:c r="S54"/>
      <x:c r="T54"/>
      <x:c r="U54"/>
      <x:c r="V54" s="1"/>
      <x:c r="W54" s="1"/>
    </x:row>
    <x:row r="55" ht="22" customHeight="1">
      <x:c r="A55" s="184"/>
      <x:c r="B55" s="184"/>
      <x:c r="C55" s="184"/>
      <x:c r="D55" s="184"/>
      <x:c r="E55" s="184"/>
      <x:c r="F55" s="184"/>
      <x:c r="G55" s="184"/>
      <x:c r="H55" s="184"/>
      <x:c r="I55" s="184"/>
      <x:c r="J55" s="184"/>
      <x:c r="K55" s="184"/>
      <x:c r="L55" s="184"/>
      <x:c r="M55" s="184"/>
      <x:c r="N55" s="184"/>
      <x:c r="O55"/>
      <x:c r="P55"/>
      <x:c r="Q55"/>
      <x:c r="R55"/>
      <x:c r="S55"/>
      <x:c r="T55"/>
      <x:c r="U55"/>
      <x:c r="V55" s="1"/>
      <x:c r="W55" s="1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 s="1"/>
      <x:c r="W56" s="1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 s="1"/>
      <x:c r="W57" s="1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 s="1"/>
      <x:c r="W58" s="1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 s="1"/>
      <x:c r="W59" s="1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 s="1"/>
      <x:c r="W60" s="1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 s="1"/>
      <x:c r="W61" s="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 s="1"/>
      <x:c r="W62" s="1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 s="1"/>
      <x:c r="W63" s="1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 s="1"/>
      <x:c r="W64" s="1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2:N2"/>
    <x:mergeCell ref="A3:N3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L5:N5"/>
    <x:mergeCell ref="L6:N7"/>
    <x:mergeCell ref="A9:N9"/>
    <x:mergeCell ref="I11:N11"/>
    <x:mergeCell ref="I13:L13"/>
    <x:mergeCell ref="M13:N13"/>
    <x:mergeCell ref="I15:L15"/>
    <x:mergeCell ref="M15:N15"/>
    <x:mergeCell ref="I17:L17"/>
    <x:mergeCell ref="M17:N17"/>
    <x:mergeCell ref="I19:N22"/>
    <x:mergeCell ref="A24:N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C25:D2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C34:D34"/>
    <x:mergeCell ref="C35:D35"/>
    <x:mergeCell ref="E25:G25"/>
    <x:mergeCell ref="E26:G26"/>
    <x:mergeCell ref="E27:G27"/>
    <x:mergeCell ref="E28:G28"/>
    <x:mergeCell ref="E29:G29"/>
    <x:mergeCell ref="E30:G30"/>
    <x:mergeCell ref="E31:G31"/>
    <x:mergeCell ref="E32:G32"/>
    <x:mergeCell ref="E33:G33"/>
    <x:mergeCell ref="E34:G34"/>
    <x:mergeCell ref="E35:G35"/>
    <x:mergeCell ref="I25:K25"/>
    <x:mergeCell ref="I26:K26"/>
    <x:mergeCell ref="I27:K27"/>
    <x:mergeCell ref="I28:K28"/>
    <x:mergeCell ref="I29:K29"/>
    <x:mergeCell ref="I30:K30"/>
    <x:mergeCell ref="I31:K31"/>
    <x:mergeCell ref="I32:K32"/>
    <x:mergeCell ref="I33:K33"/>
    <x:mergeCell ref="I34:K34"/>
    <x:mergeCell ref="I35:K35"/>
    <x:mergeCell ref="M25:N25"/>
    <x:mergeCell ref="M26:N26"/>
    <x:mergeCell ref="M27:N27"/>
    <x:mergeCell ref="M28:N28"/>
    <x:mergeCell ref="M29:N29"/>
    <x:mergeCell ref="M30:N30"/>
    <x:mergeCell ref="M31:N31"/>
    <x:mergeCell ref="M32:N32"/>
    <x:mergeCell ref="M33:N33"/>
    <x:mergeCell ref="M34:N34"/>
    <x:mergeCell ref="M35:N35"/>
    <x:mergeCell ref="A37:N38"/>
    <x:mergeCell ref="A40:N40"/>
    <x:mergeCell ref="A41:B41"/>
    <x:mergeCell ref="A42:B42"/>
    <x:mergeCell ref="A43:B43"/>
    <x:mergeCell ref="A44:B44"/>
    <x:mergeCell ref="A45:B45"/>
    <x:mergeCell ref="A46:B46"/>
    <x:mergeCell ref="A47:B47"/>
    <x:mergeCell ref="A48:B48"/>
    <x:mergeCell ref="A49:B49"/>
    <x:mergeCell ref="A50:B50"/>
    <x:mergeCell ref="A51:B51"/>
    <x:mergeCell ref="C41:E41"/>
    <x:mergeCell ref="C42:E42"/>
    <x:mergeCell ref="C43:E43"/>
    <x:mergeCell ref="C44:E44"/>
    <x:mergeCell ref="C45:E45"/>
    <x:mergeCell ref="C46:E46"/>
    <x:mergeCell ref="C47:E47"/>
    <x:mergeCell ref="C48:E48"/>
    <x:mergeCell ref="C49:E49"/>
    <x:mergeCell ref="C50:E50"/>
    <x:mergeCell ref="C51:E51"/>
    <x:mergeCell ref="G41:H41"/>
    <x:mergeCell ref="G42:H42"/>
    <x:mergeCell ref="G43:H43"/>
    <x:mergeCell ref="G44:H44"/>
    <x:mergeCell ref="G45:H45"/>
    <x:mergeCell ref="G46:H46"/>
    <x:mergeCell ref="G47:H47"/>
    <x:mergeCell ref="G48:H48"/>
    <x:mergeCell ref="G49:H49"/>
    <x:mergeCell ref="G50:H50"/>
    <x:mergeCell ref="G51:H51"/>
    <x:mergeCell ref="I41:J41"/>
    <x:mergeCell ref="I42:J42"/>
    <x:mergeCell ref="I43:J43"/>
    <x:mergeCell ref="I44:J44"/>
    <x:mergeCell ref="I45:J45"/>
    <x:mergeCell ref="I46:J46"/>
    <x:mergeCell ref="I47:J47"/>
    <x:mergeCell ref="I48:J48"/>
    <x:mergeCell ref="I49:J49"/>
    <x:mergeCell ref="I50:J50"/>
    <x:mergeCell ref="I51:J51"/>
    <x:mergeCell ref="K41:L41"/>
    <x:mergeCell ref="K42:L42"/>
    <x:mergeCell ref="K43:L43"/>
    <x:mergeCell ref="K44:L44"/>
    <x:mergeCell ref="K45:L45"/>
    <x:mergeCell ref="K46:L46"/>
    <x:mergeCell ref="K47:L47"/>
    <x:mergeCell ref="K48:L48"/>
    <x:mergeCell ref="K49:L49"/>
    <x:mergeCell ref="K50:L50"/>
    <x:mergeCell ref="K51:L51"/>
    <x:mergeCell ref="M41:N41"/>
    <x:mergeCell ref="M42:N42"/>
    <x:mergeCell ref="M43:N43"/>
    <x:mergeCell ref="M44:N44"/>
    <x:mergeCell ref="M45:N45"/>
    <x:mergeCell ref="M46:N46"/>
    <x:mergeCell ref="M47:N47"/>
    <x:mergeCell ref="M48:N48"/>
    <x:mergeCell ref="M49:N49"/>
    <x:mergeCell ref="M50:N50"/>
    <x:mergeCell ref="M51:N51"/>
    <x:mergeCell ref="A53:N54"/>
  </x:mergeCells>
  <x:conditionalFormatting sqref="D11:D16">
    <x:cfRule type="containsText" dxfId="7" priority="1" operator="containsText" text="CONTROLADO"/>
    <x:cfRule type="containsText" dxfId="8" priority="2" operator="containsText" text="AGORA"/>
    <x:cfRule type="containsText" dxfId="9" priority="3" operator="containsText" text="PRIMEIRO"/>
    <x:cfRule type="containsText" dxfId="10" priority="4" operator="containsText" text="RISCO"/>
  </x:conditionalFormatting>
  <x:pageMargins left="0.7" right="0.7" top="0.75" bottom="0.75" header="0.3" footer="0.3"/>
  <x:drawing xmlns:r="http://schemas.openxmlformats.org/officeDocument/2006/relationships" r:id="R3024f552f17f41c7"/>
</x:worksheet>
</file>

<file path=xl/worksheets/sheet2.xml><?xml version="1.0" encoding="utf-8"?>
<x:worksheet xmlns:x="http://schemas.openxmlformats.org/spreadsheetml/2006/main">
  <x:sheetPr>
    <x:tabColor rgb="FF2F7D4A"/>
  </x:sheetPr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18" hidden="0" customWidth="1"/>
    <x:col min="4" max="4" width="13" hidden="0" customWidth="1"/>
    <x:col min="5" max="5" width="13" hidden="0" customWidth="1"/>
    <x:col min="6" max="6" width="18" hidden="0" customWidth="1"/>
    <x:col min="7" max="7" width="18" hidden="0" customWidth="1"/>
    <x:col min="8" max="8" width="15" hidden="0" customWidth="1"/>
    <x:col min="9" max="9" width="17" hidden="0" customWidth="1"/>
    <x:col min="10" max="10" width="21" hidden="0" customWidth="1"/>
    <x:col min="11" max="11" width="19" hidden="0" customWidth="1"/>
    <x:col min="12" max="12" width="18" hidden="0" customWidth="1"/>
    <x:col min="13" max="13" width="22" hidden="0" customWidth="1"/>
    <x:col min="14" max="14" width="20" hidden="0" customWidth="1"/>
    <x:col min="15" max="15" width="35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34" customHeight="1">
      <x:c r="A1" s="4" t="str">
        <x:v>CADASTRO DE PRODUTOS</x:v>
      </x:c>
      <x:c r="B1" s="4" t="str">
        <x:v>CADASTRO DE PRODUTOS</x:v>
      </x:c>
      <x:c r="C1" s="4" t="str">
        <x:v>CADASTRO DE PRODUTOS</x:v>
      </x:c>
      <x:c r="D1" s="4" t="str">
        <x:v>CADASTRO DE PRODUTOS</x:v>
      </x:c>
      <x:c r="E1" s="4" t="str">
        <x:v>CADASTRO DE PRODUTOS</x:v>
      </x:c>
      <x:c r="F1" s="4" t="str">
        <x:v>CADASTRO DE PRODUTOS</x:v>
      </x:c>
      <x:c r="G1" s="4" t="str">
        <x:v>CADASTRO DE PRODUTOS</x:v>
      </x:c>
      <x:c r="H1" s="4" t="str">
        <x:v>CADASTRO DE PRODUTOS</x:v>
      </x:c>
      <x:c r="I1" s="4" t="str">
        <x:v>CADASTRO DE PRODUTOS</x:v>
      </x:c>
      <x:c r="J1" s="4" t="str">
        <x:v>CADASTRO DE PRODUTOS</x:v>
      </x:c>
      <x:c r="K1" s="4" t="str">
        <x:v>CADASTRO DE PRODUTOS</x:v>
      </x:c>
      <x:c r="L1" s="4" t="str">
        <x:v>CADASTRO DE PRODUTOS</x:v>
      </x:c>
      <x:c r="M1" s="4" t="str">
        <x:v>CADASTRO DE PRODUTOS</x:v>
      </x:c>
      <x:c r="N1" s="4" t="str">
        <x:v>CADASTRO DE PRODUTOS</x:v>
      </x:c>
      <x:c r="O1" s="4" t="str">
        <x:v>CADASTRO DE PRODUTOS</x:v>
      </x:c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Cadastre cada SKU uma única vez. Entradas em amarelo; saldos, riscos e alertas são calculados automaticamente.</x:v>
      </x:c>
      <x:c r="B2" s="8" t="str">
        <x:v>Cadastre cada SKU uma única vez. Entradas em amarelo; saldos, riscos e alertas são calculados automaticamente.</x:v>
      </x:c>
      <x:c r="C2" s="8" t="str">
        <x:v>Cadastre cada SKU uma única vez. Entradas em amarelo; saldos, riscos e alertas são calculados automaticamente.</x:v>
      </x:c>
      <x:c r="D2" s="8" t="str">
        <x:v>Cadastre cada SKU uma única vez. Entradas em amarelo; saldos, riscos e alertas são calculados automaticamente.</x:v>
      </x:c>
      <x:c r="E2" s="8" t="str">
        <x:v>Cadastre cada SKU uma única vez. Entradas em amarelo; saldos, riscos e alertas são calculados automaticamente.</x:v>
      </x:c>
      <x:c r="F2" s="8" t="str">
        <x:v>Cadastre cada SKU uma única vez. Entradas em amarelo; saldos, riscos e alertas são calculados automaticamente.</x:v>
      </x:c>
      <x:c r="G2" s="8" t="str">
        <x:v>Cadastre cada SKU uma única vez. Entradas em amarelo; saldos, riscos e alertas são calculados automaticamente.</x:v>
      </x:c>
      <x:c r="H2" s="8" t="str">
        <x:v>Cadastre cada SKU uma única vez. Entradas em amarelo; saldos, riscos e alertas são calculados automaticamente.</x:v>
      </x:c>
      <x:c r="I2" s="8" t="str">
        <x:v>Cadastre cada SKU uma única vez. Entradas em amarelo; saldos, riscos e alertas são calculados automaticamente.</x:v>
      </x:c>
      <x:c r="J2" s="8" t="str">
        <x:v>Cadastre cada SKU uma única vez. Entradas em amarelo; saldos, riscos e alertas são calculados automaticamente.</x:v>
      </x:c>
      <x:c r="K2" s="8" t="str">
        <x:v>Cadastre cada SKU uma única vez. Entradas em amarelo; saldos, riscos e alertas são calculados automaticamente.</x:v>
      </x:c>
      <x:c r="L2" s="8" t="str">
        <x:v>Cadastre cada SKU uma única vez. Entradas em amarelo; saldos, riscos e alertas são calculados automaticamente.</x:v>
      </x:c>
      <x:c r="M2" s="8" t="str">
        <x:v>Cadastre cada SKU uma única vez. Entradas em amarelo; saldos, riscos e alertas são calculados automaticamente.</x:v>
      </x:c>
      <x:c r="N2" s="8" t="str">
        <x:v>Cadastre cada SKU uma única vez. Entradas em amarelo; saldos, riscos e alertas são calculados automaticamente.</x:v>
      </x:c>
      <x:c r="O2" s="8" t="str">
        <x:v>Cadastre cada SKU uma única vez. Entradas em amarelo; saldos, riscos e alertas são calculados automaticamente.</x:v>
      </x:c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2" customHeight="1">
      <x:c r="A4" s="22" t="str">
        <x:v>SKU</x:v>
      </x:c>
      <x:c r="B4" s="23" t="str">
        <x:v>Produto</x:v>
      </x:c>
      <x:c r="C4" s="23" t="str">
        <x:v>Categoria</x:v>
      </x:c>
      <x:c r="D4" s="23" t="str">
        <x:v>Unidade</x:v>
      </x:c>
      <x:c r="E4" s="23" t="str">
        <x:v>Local</x:v>
      </x:c>
      <x:c r="F4" s="23" t="str">
        <x:v>Estoque mínimo</x:v>
      </x:c>
      <x:c r="G4" s="23" t="str">
        <x:v>Custo padrão</x:v>
      </x:c>
      <x:c r="H4" s="23" t="str">
        <x:v>Status</x:v>
      </x:c>
      <x:c r="I4" s="23" t="str">
        <x:v>Saldo atual</x:v>
      </x:c>
      <x:c r="J4" s="23" t="str">
        <x:v>Valor em estoque</x:v>
      </x:c>
      <x:c r="K4" s="23" t="str">
        <x:v>Lotes com saldo</x:v>
      </x:c>
      <x:c r="L4" s="23" t="str">
        <x:v>Lotes vencidos</x:v>
      </x:c>
      <x:c r="M4" s="23" t="str">
        <x:v>Vence na janela</x:v>
      </x:c>
      <x:c r="N4" s="23" t="str">
        <x:v>Alerta reposição</x:v>
      </x:c>
      <x:c r="O4" s="24" t="str">
        <x:v>Observação</x:v>
      </x:c>
      <x:c r="P4" s="178" t="str">
        <x:v>Pendência do cadastro</x:v>
      </x:c>
      <x:c r="Q4" s="178" t="str">
        <x:v>Saldo utilizável</x:v>
      </x:c>
      <x:c r="R4" s="178" t="str">
        <x:v>Linha pendente</x:v>
      </x:c>
      <x:c r="S4" s="178" t="str">
        <x:v>No contexto</x:v>
      </x:c>
      <x:c r="T4" s="178" t="str">
        <x:v>Ordem no contexto</x:v>
      </x:c>
      <x:c r="U4" s="1"/>
      <x:c r="V4" s="1"/>
      <x:c r="W4" s="1"/>
    </x:row>
    <x:row r="5" ht="32" customHeight="1">
      <x:c r="A5" s="170" t="str">
        <x:v>SKU-001</x:v>
      </x:c>
      <x:c r="B5" s="170" t="str">
        <x:v>Iogurte natural 170 g</x:v>
      </x:c>
      <x:c r="C5" s="170" t="str">
        <x:v>Alimentos</x:v>
      </x:c>
      <x:c r="D5" s="170" t="str">
        <x:v>un</x:v>
      </x:c>
      <x:c r="E5" s="170" t="str">
        <x:v>A-01</x:v>
      </x:c>
      <x:c r="F5" s="171" t="n">
        <x:v>180</x:v>
      </x:c>
      <x:c r="G5" s="172" t="n">
        <x:v>2.35</x:v>
      </x:c>
      <x:c r="H5" s="170" t="str">
        <x:v>Ativo</x:v>
      </x:c>
      <x:c r="I5" s="173" t="n">
        <x:f>IF(A5="","",IF(OR(P5&lt;&gt;"",COUNTIFS(Lotes!$B$5:$B$204,A5,Lotes!$U$5:$U$204,1)&gt;0,Listas!$B$13&lt;&gt;"OK"),"n.a.",SUMIFS(Lotes!$J$5:$J$204,Lotes!$B$5:$B$204,A5)))</x:f>
        <x:v>350</x:v>
      </x:c>
      <x:c r="J5" s="174" t="n">
        <x:f>IF(A5="","",IF(OR(P5&lt;&gt;"",COUNTIFS(Lotes!$B$5:$B$204,A5,Lotes!$U$5:$U$204,1)&gt;0,Listas!$B$13&lt;&gt;"OK"),"n.a.",SUMIFS(Lotes!$L$5:$L$204,Lotes!$B$5:$B$204,A5)))</x:f>
        <x:v>834</x:v>
      </x:c>
      <x:c r="K5" s="173" t="n">
        <x:f>IF(A5="","",IF(OR(P5&lt;&gt;"",COUNTIFS(Lotes!$B$5:$B$204,A5,Lotes!$U$5:$U$204,1)&gt;0,Listas!$B$13&lt;&gt;"OK"),"n.a.",COUNTIFS(Lotes!$B$5:$B$204,A5,Lotes!$J$5:$J$204,"&gt;0")))</x:f>
        <x:v>2</x:v>
      </x:c>
      <x:c r="L5" s="173" t="n">
        <x:f>IF(A5="","",IF(OR(P5&lt;&gt;"",COUNTIFS(Lotes!$B$5:$B$204,A5,Lotes!$U$5:$U$204,1)&gt;0,Listas!$B$13&lt;&gt;"OK"),"n.a.",COUNTIFS(Lotes!$B$5:$B$204,A5,Lotes!$J$5:$J$204,"&gt;0",Lotes!$N$5:$N$204,"VENCIDO")))</x:f>
        <x:v>1</x:v>
      </x:c>
      <x:c r="M5" s="173" t="n">
        <x:f>IF(A5="","",IF(OR(P5&lt;&gt;"",COUNTIFS(Lotes!$B$5:$B$204,A5,Lotes!$U$5:$U$204,1)&gt;0,Listas!$B$13&lt;&gt;"OK"),"n.a.",COUNTIFS(Lotes!$B$5:$B$204,A5,Lotes!$J$5:$J$204,"&gt;0",Lotes!$N$5:$N$204,"CRÍTICO")+COUNTIFS(Lotes!$B$5:$B$204,A5,Lotes!$J$5:$J$204,"&gt;0",Lotes!$N$5:$N$204,"VENCE NA JANELA")))</x:f>
        <x:v>1</x:v>
      </x:c>
      <x:c r="N5" s="173" t="str">
        <x:f>IF(A5="","",IF(OR(P5&lt;&gt;"",COUNTIFS(Lotes!$B$5:$B$204,A5,Lotes!$U$5:$U$204,1)&gt;0,Listas!$B$13&lt;&gt;"OK"),"REVISAR DADOS",IF(H5="Inativo","INATIVO",IF(Q5&lt;=F5,"REPOR","OK"))))</x:f>
        <x:v>OK</x:v>
      </x:c>
      <x:c r="O5" s="27" t="str">
        <x:v>Refrigerado</x:v>
      </x:c>
      <x:c r="P5" s="163" t="str">
        <x:f>IF(COUNTA(A5:H5,O5)=0,"",IF(OR(A5="",COUNTIFS($A$5:$A$204,A5)&lt;&gt;1),"SKU ausente ou duplicado",IF(OR(B5="",D5=""),"Produto ou unidade ausente",IF(OR(NOT(ISNUMBER(F5)),F5&lt;0,NOT(ISNUMBER(G5)),G5&lt;0),"Mínimo ou custo inválido",IF(AND(H5&lt;&gt;"Ativo",H5&lt;&gt;"Inativo"),"Status de produto inválido","")))))</x:f>
      </x:c>
      <x:c r="Q5" s="163" t="n">
        <x:f>IF(A5="","",IF(OR(P5&lt;&gt;"",COUNTIFS(Lotes!$B$5:$B$204,A5,Lotes!$U$5:$U$204,1)&gt;0,Listas!$B$13&lt;&gt;"OK"),"n.a.",SUMIFS(Lotes!$V$5:$V$204,Lotes!$B$5:$B$204,A5)))</x:f>
        <x:v>290</x:v>
      </x:c>
      <x:c r="R5" s="163" t="n">
        <x:f>IF(P5="",0,1)</x:f>
        <x:v>0</x:v>
      </x:c>
      <x:c r="S5" s="163" t="n">
        <x:f>IF(COUNTA(A5:H5,O5)=0,0,IF(OR(Listas!$B$19="Todos",A5=Listas!$B$19,A5=""),1,0))</x:f>
        <x:v>1</x:v>
      </x:c>
      <x:c r="T5" s="163" t="n">
        <x:f>IF(S5=1,COUNTIFS($S$5:S5,1),0)</x:f>
        <x:v>1</x:v>
      </x:c>
      <x:c r="U5" s="1"/>
      <x:c r="V5" s="1"/>
      <x:c r="W5" s="1"/>
    </x:row>
    <x:row r="6" ht="32" customHeight="1">
      <x:c r="A6" s="170" t="str">
        <x:v>SKU-002</x:v>
      </x:c>
      <x:c r="B6" s="170" t="str">
        <x:v>Suco integral 1 L</x:v>
      </x:c>
      <x:c r="C6" s="170" t="str">
        <x:v>Bebidas</x:v>
      </x:c>
      <x:c r="D6" s="170" t="str">
        <x:v>cx</x:v>
      </x:c>
      <x:c r="E6" s="170" t="str">
        <x:v>A-02</x:v>
      </x:c>
      <x:c r="F6" s="171" t="n">
        <x:v>40</x:v>
      </x:c>
      <x:c r="G6" s="172" t="n">
        <x:v>58</x:v>
      </x:c>
      <x:c r="H6" s="170" t="str">
        <x:v>Ativo</x:v>
      </x:c>
      <x:c r="I6" s="173" t="n">
        <x:f>IF(A6="","",IF(OR(P6&lt;&gt;"",COUNTIFS(Lotes!$B$5:$B$204,A6,Lotes!$U$5:$U$204,1)&gt;0,Listas!$B$13&lt;&gt;"OK"),"n.a.",SUMIFS(Lotes!$J$5:$J$204,Lotes!$B$5:$B$204,A6)))</x:f>
        <x:v>28</x:v>
      </x:c>
      <x:c r="J6" s="174" t="n">
        <x:f>IF(A6="","",IF(OR(P6&lt;&gt;"",COUNTIFS(Lotes!$B$5:$B$204,A6,Lotes!$U$5:$U$204,1)&gt;0,Listas!$B$13&lt;&gt;"OK"),"n.a.",SUMIFS(Lotes!$L$5:$L$204,Lotes!$B$5:$B$204,A6)))</x:f>
        <x:v>1582</x:v>
      </x:c>
      <x:c r="K6" s="173" t="n">
        <x:f>IF(A6="","",IF(OR(P6&lt;&gt;"",COUNTIFS(Lotes!$B$5:$B$204,A6,Lotes!$U$5:$U$204,1)&gt;0,Listas!$B$13&lt;&gt;"OK"),"n.a.",COUNTIFS(Lotes!$B$5:$B$204,A6,Lotes!$J$5:$J$204,"&gt;0")))</x:f>
        <x:v>1</x:v>
      </x:c>
      <x:c r="L6" s="173" t="n">
        <x:f>IF(A6="","",IF(OR(P6&lt;&gt;"",COUNTIFS(Lotes!$B$5:$B$204,A6,Lotes!$U$5:$U$204,1)&gt;0,Listas!$B$13&lt;&gt;"OK"),"n.a.",COUNTIFS(Lotes!$B$5:$B$204,A6,Lotes!$J$5:$J$204,"&gt;0",Lotes!$N$5:$N$204,"VENCIDO")))</x:f>
        <x:v>0</x:v>
      </x:c>
      <x:c r="M6" s="173" t="n">
        <x:f>IF(A6="","",IF(OR(P6&lt;&gt;"",COUNTIFS(Lotes!$B$5:$B$204,A6,Lotes!$U$5:$U$204,1)&gt;0,Listas!$B$13&lt;&gt;"OK"),"n.a.",COUNTIFS(Lotes!$B$5:$B$204,A6,Lotes!$J$5:$J$204,"&gt;0",Lotes!$N$5:$N$204,"CRÍTICO")+COUNTIFS(Lotes!$B$5:$B$204,A6,Lotes!$J$5:$J$204,"&gt;0",Lotes!$N$5:$N$204,"VENCE NA JANELA")))</x:f>
        <x:v>1</x:v>
      </x:c>
      <x:c r="N6" s="173" t="str">
        <x:f>IF(A6="","",IF(OR(P6&lt;&gt;"",COUNTIFS(Lotes!$B$5:$B$204,A6,Lotes!$U$5:$U$204,1)&gt;0,Listas!$B$13&lt;&gt;"OK"),"REVISAR DADOS",IF(H6="Inativo","INATIVO",IF(Q6&lt;=F6,"REPOR","OK"))))</x:f>
        <x:v>REPOR</x:v>
      </x:c>
      <x:c r="O6" s="27" t="str">
        <x:v>Caixa com 12</x:v>
      </x:c>
      <x:c r="P6" s="163" t="str">
        <x:f>IF(COUNTA(A6:H6,O6)=0,"",IF(OR(A6="",COUNTIFS($A$5:$A$204,A6)&lt;&gt;1),"SKU ausente ou duplicado",IF(OR(B6="",D6=""),"Produto ou unidade ausente",IF(OR(NOT(ISNUMBER(F6)),F6&lt;0,NOT(ISNUMBER(G6)),G6&lt;0),"Mínimo ou custo inválido",IF(AND(H6&lt;&gt;"Ativo",H6&lt;&gt;"Inativo"),"Status de produto inválido","")))))</x:f>
      </x:c>
      <x:c r="Q6" s="163" t="n">
        <x:f>IF(A6="","",IF(OR(P6&lt;&gt;"",COUNTIFS(Lotes!$B$5:$B$204,A6,Lotes!$U$5:$U$204,1)&gt;0,Listas!$B$13&lt;&gt;"OK"),"n.a.",SUMIFS(Lotes!$V$5:$V$204,Lotes!$B$5:$B$204,A6)))</x:f>
        <x:v>28</x:v>
      </x:c>
      <x:c r="R6" s="163" t="n">
        <x:f>IF(P6="",0,1)</x:f>
        <x:v>0</x:v>
      </x:c>
      <x:c r="S6" s="163" t="n">
        <x:f>IF(COUNTA(A6:H6,O6)=0,0,IF(OR(Listas!$B$19="Todos",A6=Listas!$B$19,A6=""),1,0))</x:f>
        <x:v>1</x:v>
      </x:c>
      <x:c r="T6" s="163" t="n">
        <x:f>IF(S6=1,COUNTIFS($S$5:S6,1),0)</x:f>
        <x:v>2</x:v>
      </x:c>
      <x:c r="U6" s="1"/>
      <x:c r="V6" s="1"/>
      <x:c r="W6" s="1"/>
    </x:row>
    <x:row r="7" ht="32" customHeight="1">
      <x:c r="A7" s="170" t="str">
        <x:v>SKU-003</x:v>
      </x:c>
      <x:c r="B7" s="170" t="str">
        <x:v>Álcool 70% 500 ml</x:v>
      </x:c>
      <x:c r="C7" s="170" t="str">
        <x:v>Higiene</x:v>
      </x:c>
      <x:c r="D7" s="170" t="str">
        <x:v>un</x:v>
      </x:c>
      <x:c r="E7" s="170" t="str">
        <x:v>B-01</x:v>
      </x:c>
      <x:c r="F7" s="171" t="n">
        <x:v>120</x:v>
      </x:c>
      <x:c r="G7" s="172" t="n">
        <x:v>6.8</x:v>
      </x:c>
      <x:c r="H7" s="170" t="str">
        <x:v>Ativo</x:v>
      </x:c>
      <x:c r="I7" s="173" t="n">
        <x:f>IF(A7="","",IF(OR(P7&lt;&gt;"",COUNTIFS(Lotes!$B$5:$B$204,A7,Lotes!$U$5:$U$204,1)&gt;0,Listas!$B$13&lt;&gt;"OK"),"n.a.",SUMIFS(Lotes!$J$5:$J$204,Lotes!$B$5:$B$204,A7)))</x:f>
        <x:v>45</x:v>
      </x:c>
      <x:c r="J7" s="174" t="n">
        <x:f>IF(A7="","",IF(OR(P7&lt;&gt;"",COUNTIFS(Lotes!$B$5:$B$204,A7,Lotes!$U$5:$U$204,1)&gt;0,Listas!$B$13&lt;&gt;"OK"),"n.a.",SUMIFS(Lotes!$L$5:$L$204,Lotes!$B$5:$B$204,A7)))</x:f>
        <x:v>297</x:v>
      </x:c>
      <x:c r="K7" s="173" t="n">
        <x:f>IF(A7="","",IF(OR(P7&lt;&gt;"",COUNTIFS(Lotes!$B$5:$B$204,A7,Lotes!$U$5:$U$204,1)&gt;0,Listas!$B$13&lt;&gt;"OK"),"n.a.",COUNTIFS(Lotes!$B$5:$B$204,A7,Lotes!$J$5:$J$204,"&gt;0")))</x:f>
        <x:v>1</x:v>
      </x:c>
      <x:c r="L7" s="173" t="n">
        <x:f>IF(A7="","",IF(OR(P7&lt;&gt;"",COUNTIFS(Lotes!$B$5:$B$204,A7,Lotes!$U$5:$U$204,1)&gt;0,Listas!$B$13&lt;&gt;"OK"),"n.a.",COUNTIFS(Lotes!$B$5:$B$204,A7,Lotes!$J$5:$J$204,"&gt;0",Lotes!$N$5:$N$204,"VENCIDO")))</x:f>
        <x:v>0</x:v>
      </x:c>
      <x:c r="M7" s="173" t="n">
        <x:f>IF(A7="","",IF(OR(P7&lt;&gt;"",COUNTIFS(Lotes!$B$5:$B$204,A7,Lotes!$U$5:$U$204,1)&gt;0,Listas!$B$13&lt;&gt;"OK"),"n.a.",COUNTIFS(Lotes!$B$5:$B$204,A7,Lotes!$J$5:$J$204,"&gt;0",Lotes!$N$5:$N$204,"CRÍTICO")+COUNTIFS(Lotes!$B$5:$B$204,A7,Lotes!$J$5:$J$204,"&gt;0",Lotes!$N$5:$N$204,"VENCE NA JANELA")))</x:f>
        <x:v>0</x:v>
      </x:c>
      <x:c r="N7" s="173" t="str">
        <x:f>IF(A7="","",IF(OR(P7&lt;&gt;"",COUNTIFS(Lotes!$B$5:$B$204,A7,Lotes!$U$5:$U$204,1)&gt;0,Listas!$B$13&lt;&gt;"OK"),"REVISAR DADOS",IF(H7="Inativo","INATIVO",IF(Q7&lt;=F7,"REPOR","OK"))))</x:f>
        <x:v>REPOR</x:v>
      </x:c>
      <x:c r="O7" s="27" t="str">
        <x:v>Inflamável</x:v>
      </x:c>
      <x:c r="P7" s="163" t="str">
        <x:f>IF(COUNTA(A7:H7,O7)=0,"",IF(OR(A7="",COUNTIFS($A$5:$A$204,A7)&lt;&gt;1),"SKU ausente ou duplicado",IF(OR(B7="",D7=""),"Produto ou unidade ausente",IF(OR(NOT(ISNUMBER(F7)),F7&lt;0,NOT(ISNUMBER(G7)),G7&lt;0),"Mínimo ou custo inválido",IF(AND(H7&lt;&gt;"Ativo",H7&lt;&gt;"Inativo"),"Status de produto inválido","")))))</x:f>
      </x:c>
      <x:c r="Q7" s="163" t="n">
        <x:f>IF(A7="","",IF(OR(P7&lt;&gt;"",COUNTIFS(Lotes!$B$5:$B$204,A7,Lotes!$U$5:$U$204,1)&gt;0,Listas!$B$13&lt;&gt;"OK"),"n.a.",SUMIFS(Lotes!$V$5:$V$204,Lotes!$B$5:$B$204,A7)))</x:f>
        <x:v>45</x:v>
      </x:c>
      <x:c r="R7" s="163" t="n">
        <x:f>IF(P7="",0,1)</x:f>
        <x:v>0</x:v>
      </x:c>
      <x:c r="S7" s="163" t="n">
        <x:f>IF(COUNTA(A7:H7,O7)=0,0,IF(OR(Listas!$B$19="Todos",A7=Listas!$B$19,A7=""),1,0))</x:f>
        <x:v>1</x:v>
      </x:c>
      <x:c r="T7" s="163" t="n">
        <x:f>IF(S7=1,COUNTIFS($S$5:S7,1),0)</x:f>
        <x:v>3</x:v>
      </x:c>
      <x:c r="U7" s="1"/>
      <x:c r="V7" s="1"/>
      <x:c r="W7" s="1"/>
    </x:row>
    <x:row r="8" ht="32" customHeight="1">
      <x:c r="A8" s="170" t="str">
        <x:v>SKU-004</x:v>
      </x:c>
      <x:c r="B8" s="170" t="str">
        <x:v>Detergente neutro 500 ml</x:v>
      </x:c>
      <x:c r="C8" s="170" t="str">
        <x:v>Limpeza</x:v>
      </x:c>
      <x:c r="D8" s="170" t="str">
        <x:v>un</x:v>
      </x:c>
      <x:c r="E8" s="170" t="str">
        <x:v>B-02</x:v>
      </x:c>
      <x:c r="F8" s="171" t="n">
        <x:v>150</x:v>
      </x:c>
      <x:c r="G8" s="172" t="n">
        <x:v>2.9</x:v>
      </x:c>
      <x:c r="H8" s="170" t="str">
        <x:v>Ativo</x:v>
      </x:c>
      <x:c r="I8" s="173" t="n">
        <x:f>IF(A8="","",IF(OR(P8&lt;&gt;"",COUNTIFS(Lotes!$B$5:$B$204,A8,Lotes!$U$5:$U$204,1)&gt;0,Listas!$B$13&lt;&gt;"OK"),"n.a.",SUMIFS(Lotes!$J$5:$J$204,Lotes!$B$5:$B$204,A8)))</x:f>
        <x:v>30</x:v>
      </x:c>
      <x:c r="J8" s="174" t="n">
        <x:f>IF(A8="","",IF(OR(P8&lt;&gt;"",COUNTIFS(Lotes!$B$5:$B$204,A8,Lotes!$U$5:$U$204,1)&gt;0,Listas!$B$13&lt;&gt;"OK"),"n.a.",SUMIFS(Lotes!$L$5:$L$204,Lotes!$B$5:$B$204,A8)))</x:f>
        <x:v>82.5</x:v>
      </x:c>
      <x:c r="K8" s="173" t="n">
        <x:f>IF(A8="","",IF(OR(P8&lt;&gt;"",COUNTIFS(Lotes!$B$5:$B$204,A8,Lotes!$U$5:$U$204,1)&gt;0,Listas!$B$13&lt;&gt;"OK"),"n.a.",COUNTIFS(Lotes!$B$5:$B$204,A8,Lotes!$J$5:$J$204,"&gt;0")))</x:f>
        <x:v>1</x:v>
      </x:c>
      <x:c r="L8" s="173" t="n">
        <x:f>IF(A8="","",IF(OR(P8&lt;&gt;"",COUNTIFS(Lotes!$B$5:$B$204,A8,Lotes!$U$5:$U$204,1)&gt;0,Listas!$B$13&lt;&gt;"OK"),"n.a.",COUNTIFS(Lotes!$B$5:$B$204,A8,Lotes!$J$5:$J$204,"&gt;0",Lotes!$N$5:$N$204,"VENCIDO")))</x:f>
        <x:v>1</x:v>
      </x:c>
      <x:c r="M8" s="173" t="n">
        <x:f>IF(A8="","",IF(OR(P8&lt;&gt;"",COUNTIFS(Lotes!$B$5:$B$204,A8,Lotes!$U$5:$U$204,1)&gt;0,Listas!$B$13&lt;&gt;"OK"),"n.a.",COUNTIFS(Lotes!$B$5:$B$204,A8,Lotes!$J$5:$J$204,"&gt;0",Lotes!$N$5:$N$204,"CRÍTICO")+COUNTIFS(Lotes!$B$5:$B$204,A8,Lotes!$J$5:$J$204,"&gt;0",Lotes!$N$5:$N$204,"VENCE NA JANELA")))</x:f>
        <x:v>0</x:v>
      </x:c>
      <x:c r="N8" s="173" t="str">
        <x:f>IF(A8="","",IF(OR(P8&lt;&gt;"",COUNTIFS(Lotes!$B$5:$B$204,A8,Lotes!$U$5:$U$204,1)&gt;0,Listas!$B$13&lt;&gt;"OK"),"REVISAR DADOS",IF(H8="Inativo","INATIVO",IF(Q8&lt;=F8,"REPOR","OK"))))</x:f>
        <x:v>REPOR</x:v>
      </x:c>
      <x:c r="O8" s="27" t="str">
        <x:v>Uso geral</x:v>
      </x:c>
      <x:c r="P8" s="163" t="str">
        <x:f>IF(COUNTA(A8:H8,O8)=0,"",IF(OR(A8="",COUNTIFS($A$5:$A$204,A8)&lt;&gt;1),"SKU ausente ou duplicado",IF(OR(B8="",D8=""),"Produto ou unidade ausente",IF(OR(NOT(ISNUMBER(F8)),F8&lt;0,NOT(ISNUMBER(G8)),G8&lt;0),"Mínimo ou custo inválido",IF(AND(H8&lt;&gt;"Ativo",H8&lt;&gt;"Inativo"),"Status de produto inválido","")))))</x:f>
      </x:c>
      <x:c r="Q8" s="163" t="n">
        <x:f>IF(A8="","",IF(OR(P8&lt;&gt;"",COUNTIFS(Lotes!$B$5:$B$204,A8,Lotes!$U$5:$U$204,1)&gt;0,Listas!$B$13&lt;&gt;"OK"),"n.a.",SUMIFS(Lotes!$V$5:$V$204,Lotes!$B$5:$B$204,A8)))</x:f>
        <x:v>0</x:v>
      </x:c>
      <x:c r="R8" s="163" t="n">
        <x:f>IF(P8="",0,1)</x:f>
        <x:v>0</x:v>
      </x:c>
      <x:c r="S8" s="163" t="n">
        <x:f>IF(COUNTA(A8:H8,O8)=0,0,IF(OR(Listas!$B$19="Todos",A8=Listas!$B$19,A8=""),1,0))</x:f>
        <x:v>1</x:v>
      </x:c>
      <x:c r="T8" s="163" t="n">
        <x:f>IF(S8=1,COUNTIFS($S$5:S8,1),0)</x:f>
        <x:v>4</x:v>
      </x:c>
      <x:c r="U8" s="1"/>
      <x:c r="V8" s="1"/>
      <x:c r="W8" s="1"/>
    </x:row>
    <x:row r="9" ht="32" customHeight="1">
      <x:c r="A9" s="170" t="str">
        <x:v>SKU-005</x:v>
      </x:c>
      <x:c r="B9" s="170" t="str">
        <x:v>Vitamina C 30 cápsulas</x:v>
      </x:c>
      <x:c r="C9" s="170" t="str">
        <x:v>Saúde</x:v>
      </x:c>
      <x:c r="D9" s="170" t="str">
        <x:v>un</x:v>
      </x:c>
      <x:c r="E9" s="170" t="str">
        <x:v>C-01</x:v>
      </x:c>
      <x:c r="F9" s="171" t="n">
        <x:v>80</x:v>
      </x:c>
      <x:c r="G9" s="172" t="n">
        <x:v>18.5</x:v>
      </x:c>
      <x:c r="H9" s="170" t="str">
        <x:v>Ativo</x:v>
      </x:c>
      <x:c r="I9" s="173" t="n">
        <x:f>IF(A9="","",IF(OR(P9&lt;&gt;"",COUNTIFS(Lotes!$B$5:$B$204,A9,Lotes!$U$5:$U$204,1)&gt;0,Listas!$B$13&lt;&gt;"OK"),"n.a.",SUMIFS(Lotes!$J$5:$J$204,Lotes!$B$5:$B$204,A9)))</x:f>
        <x:v>120</x:v>
      </x:c>
      <x:c r="J9" s="174" t="n">
        <x:f>IF(A9="","",IF(OR(P9&lt;&gt;"",COUNTIFS(Lotes!$B$5:$B$204,A9,Lotes!$U$5:$U$204,1)&gt;0,Listas!$B$13&lt;&gt;"OK"),"n.a.",SUMIFS(Lotes!$L$5:$L$204,Lotes!$B$5:$B$204,A9)))</x:f>
        <x:v>2184</x:v>
      </x:c>
      <x:c r="K9" s="173" t="n">
        <x:f>IF(A9="","",IF(OR(P9&lt;&gt;"",COUNTIFS(Lotes!$B$5:$B$204,A9,Lotes!$U$5:$U$204,1)&gt;0,Listas!$B$13&lt;&gt;"OK"),"n.a.",COUNTIFS(Lotes!$B$5:$B$204,A9,Lotes!$J$5:$J$204,"&gt;0")))</x:f>
        <x:v>1</x:v>
      </x:c>
      <x:c r="L9" s="173" t="n">
        <x:f>IF(A9="","",IF(OR(P9&lt;&gt;"",COUNTIFS(Lotes!$B$5:$B$204,A9,Lotes!$U$5:$U$204,1)&gt;0,Listas!$B$13&lt;&gt;"OK"),"n.a.",COUNTIFS(Lotes!$B$5:$B$204,A9,Lotes!$J$5:$J$204,"&gt;0",Lotes!$N$5:$N$204,"VENCIDO")))</x:f>
        <x:v>0</x:v>
      </x:c>
      <x:c r="M9" s="173" t="n">
        <x:f>IF(A9="","",IF(OR(P9&lt;&gt;"",COUNTIFS(Lotes!$B$5:$B$204,A9,Lotes!$U$5:$U$204,1)&gt;0,Listas!$B$13&lt;&gt;"OK"),"n.a.",COUNTIFS(Lotes!$B$5:$B$204,A9,Lotes!$J$5:$J$204,"&gt;0",Lotes!$N$5:$N$204,"CRÍTICO")+COUNTIFS(Lotes!$B$5:$B$204,A9,Lotes!$J$5:$J$204,"&gt;0",Lotes!$N$5:$N$204,"VENCE NA JANELA")))</x:f>
        <x:v>0</x:v>
      </x:c>
      <x:c r="N9" s="173" t="str">
        <x:f>IF(A9="","",IF(OR(P9&lt;&gt;"",COUNTIFS(Lotes!$B$5:$B$204,A9,Lotes!$U$5:$U$204,1)&gt;0,Listas!$B$13&lt;&gt;"OK"),"REVISAR DADOS",IF(H9="Inativo","INATIVO",IF(Q9&lt;=F9,"REPOR","OK"))))</x:f>
        <x:v>REPOR</x:v>
      </x:c>
      <x:c r="O9" s="27" t="str">
        <x:v>Manter seco</x:v>
      </x:c>
      <x:c r="P9" s="163" t="str">
        <x:f>IF(COUNTA(A9:H9,O9)=0,"",IF(OR(A9="",COUNTIFS($A$5:$A$204,A9)&lt;&gt;1),"SKU ausente ou duplicado",IF(OR(B9="",D9=""),"Produto ou unidade ausente",IF(OR(NOT(ISNUMBER(F9)),F9&lt;0,NOT(ISNUMBER(G9)),G9&lt;0),"Mínimo ou custo inválido",IF(AND(H9&lt;&gt;"Ativo",H9&lt;&gt;"Inativo"),"Status de produto inválido","")))))</x:f>
      </x:c>
      <x:c r="Q9" s="163" t="n">
        <x:f>IF(A9="","",IF(OR(P9&lt;&gt;"",COUNTIFS(Lotes!$B$5:$B$204,A9,Lotes!$U$5:$U$204,1)&gt;0,Listas!$B$13&lt;&gt;"OK"),"n.a.",SUMIFS(Lotes!$V$5:$V$204,Lotes!$B$5:$B$204,A9)))</x:f>
        <x:v>0</x:v>
      </x:c>
      <x:c r="R9" s="163" t="n">
        <x:f>IF(P9="",0,1)</x:f>
        <x:v>0</x:v>
      </x:c>
      <x:c r="S9" s="163" t="n">
        <x:f>IF(COUNTA(A9:H9,O9)=0,0,IF(OR(Listas!$B$19="Todos",A9=Listas!$B$19,A9=""),1,0))</x:f>
        <x:v>1</x:v>
      </x:c>
      <x:c r="T9" s="163" t="n">
        <x:f>IF(S9=1,COUNTIFS($S$5:S9,1),0)</x:f>
        <x:v>5</x:v>
      </x:c>
      <x:c r="U9" s="1"/>
      <x:c r="V9" s="1"/>
      <x:c r="W9" s="1"/>
    </x:row>
    <x:row r="10" ht="32" customHeight="1">
      <x:c r="A10" s="170" t="str">
        <x:v>SKU-006</x:v>
      </x:c>
      <x:c r="B10" s="170" t="str">
        <x:v>Protetor solar FPS 50</x:v>
      </x:c>
      <x:c r="C10" s="170" t="str">
        <x:v>Cosméticos</x:v>
      </x:c>
      <x:c r="D10" s="170" t="str">
        <x:v>un</x:v>
      </x:c>
      <x:c r="E10" s="170" t="str">
        <x:v>C-02</x:v>
      </x:c>
      <x:c r="F10" s="171" t="n">
        <x:v>60</x:v>
      </x:c>
      <x:c r="G10" s="172" t="n">
        <x:v>34.9</x:v>
      </x:c>
      <x:c r="H10" s="170" t="str">
        <x:v>Ativo</x:v>
      </x:c>
      <x:c r="I10" s="173" t="n">
        <x:f>IF(A10="","",IF(OR(P10&lt;&gt;"",COUNTIFS(Lotes!$B$5:$B$204,A10,Lotes!$U$5:$U$204,1)&gt;0,Listas!$B$13&lt;&gt;"OK"),"n.a.",SUMIFS(Lotes!$J$5:$J$204,Lotes!$B$5:$B$204,A10)))</x:f>
        <x:v>95</x:v>
      </x:c>
      <x:c r="J10" s="174" t="n">
        <x:f>IF(A10="","",IF(OR(P10&lt;&gt;"",COUNTIFS(Lotes!$B$5:$B$204,A10,Lotes!$U$5:$U$204,1)&gt;0,Listas!$B$13&lt;&gt;"OK"),"n.a.",SUMIFS(Lotes!$L$5:$L$204,Lotes!$B$5:$B$204,A10)))</x:f>
        <x:v>3277.5</x:v>
      </x:c>
      <x:c r="K10" s="173" t="n">
        <x:f>IF(A10="","",IF(OR(P10&lt;&gt;"",COUNTIFS(Lotes!$B$5:$B$204,A10,Lotes!$U$5:$U$204,1)&gt;0,Listas!$B$13&lt;&gt;"OK"),"n.a.",COUNTIFS(Lotes!$B$5:$B$204,A10,Lotes!$J$5:$J$204,"&gt;0")))</x:f>
        <x:v>1</x:v>
      </x:c>
      <x:c r="L10" s="173" t="n">
        <x:f>IF(A10="","",IF(OR(P10&lt;&gt;"",COUNTIFS(Lotes!$B$5:$B$204,A10,Lotes!$U$5:$U$204,1)&gt;0,Listas!$B$13&lt;&gt;"OK"),"n.a.",COUNTIFS(Lotes!$B$5:$B$204,A10,Lotes!$J$5:$J$204,"&gt;0",Lotes!$N$5:$N$204,"VENCIDO")))</x:f>
        <x:v>0</x:v>
      </x:c>
      <x:c r="M10" s="173" t="n">
        <x:f>IF(A10="","",IF(OR(P10&lt;&gt;"",COUNTIFS(Lotes!$B$5:$B$204,A10,Lotes!$U$5:$U$204,1)&gt;0,Listas!$B$13&lt;&gt;"OK"),"n.a.",COUNTIFS(Lotes!$B$5:$B$204,A10,Lotes!$J$5:$J$204,"&gt;0",Lotes!$N$5:$N$204,"CRÍTICO")+COUNTIFS(Lotes!$B$5:$B$204,A10,Lotes!$J$5:$J$204,"&gt;0",Lotes!$N$5:$N$204,"VENCE NA JANELA")))</x:f>
        <x:v>0</x:v>
      </x:c>
      <x:c r="N10" s="173" t="str">
        <x:f>IF(A10="","",IF(OR(P10&lt;&gt;"",COUNTIFS(Lotes!$B$5:$B$204,A10,Lotes!$U$5:$U$204,1)&gt;0,Listas!$B$13&lt;&gt;"OK"),"REVISAR DADOS",IF(H10="Inativo","INATIVO",IF(Q10&lt;=F10,"REPOR","OK"))))</x:f>
        <x:v>OK</x:v>
      </x:c>
      <x:c r="O10" s="27" t="str">
        <x:v>Evitar calor</x:v>
      </x:c>
      <x:c r="P10" s="163" t="str">
        <x:f>IF(COUNTA(A10:H10,O10)=0,"",IF(OR(A10="",COUNTIFS($A$5:$A$204,A10)&lt;&gt;1),"SKU ausente ou duplicado",IF(OR(B10="",D10=""),"Produto ou unidade ausente",IF(OR(NOT(ISNUMBER(F10)),F10&lt;0,NOT(ISNUMBER(G10)),G10&lt;0),"Mínimo ou custo inválido",IF(AND(H10&lt;&gt;"Ativo",H10&lt;&gt;"Inativo"),"Status de produto inválido","")))))</x:f>
      </x:c>
      <x:c r="Q10" s="163" t="n">
        <x:f>IF(A10="","",IF(OR(P10&lt;&gt;"",COUNTIFS(Lotes!$B$5:$B$204,A10,Lotes!$U$5:$U$204,1)&gt;0,Listas!$B$13&lt;&gt;"OK"),"n.a.",SUMIFS(Lotes!$V$5:$V$204,Lotes!$B$5:$B$204,A10)))</x:f>
        <x:v>95</x:v>
      </x:c>
      <x:c r="R10" s="163" t="n">
        <x:f>IF(P10="",0,1)</x:f>
        <x:v>0</x:v>
      </x:c>
      <x:c r="S10" s="163" t="n">
        <x:f>IF(COUNTA(A10:H10,O10)=0,0,IF(OR(Listas!$B$19="Todos",A10=Listas!$B$19,A10=""),1,0))</x:f>
        <x:v>1</x:v>
      </x:c>
      <x:c r="T10" s="163" t="n">
        <x:f>IF(S10=1,COUNTIFS($S$5:S10,1),0)</x:f>
        <x:v>6</x:v>
      </x:c>
      <x:c r="U10" s="1"/>
      <x:c r="V10" s="1"/>
      <x:c r="W10" s="1"/>
    </x:row>
    <x:row r="11" ht="32" customHeight="1">
      <x:c r="A11" s="170" t="str">
        <x:v>SKU-007</x:v>
      </x:c>
      <x:c r="B11" s="170" t="str">
        <x:v>Ração premium 10 kg</x:v>
      </x:c>
      <x:c r="C11" s="170" t="str">
        <x:v>Pet</x:v>
      </x:c>
      <x:c r="D11" s="170" t="str">
        <x:v>un</x:v>
      </x:c>
      <x:c r="E11" s="170" t="str">
        <x:v>D-01</x:v>
      </x:c>
      <x:c r="F11" s="171" t="n">
        <x:v>25</x:v>
      </x:c>
      <x:c r="G11" s="172" t="n">
        <x:v>122</x:v>
      </x:c>
      <x:c r="H11" s="170" t="str">
        <x:v>Ativo</x:v>
      </x:c>
      <x:c r="I11" s="173" t="n">
        <x:f>IF(A11="","",IF(OR(P11&lt;&gt;"",COUNTIFS(Lotes!$B$5:$B$204,A11,Lotes!$U$5:$U$204,1)&gt;0,Listas!$B$13&lt;&gt;"OK"),"n.a.",SUMIFS(Lotes!$J$5:$J$204,Lotes!$B$5:$B$204,A11)))</x:f>
        <x:v>40</x:v>
      </x:c>
      <x:c r="J11" s="174" t="n">
        <x:f>IF(A11="","",IF(OR(P11&lt;&gt;"",COUNTIFS(Lotes!$B$5:$B$204,A11,Lotes!$U$5:$U$204,1)&gt;0,Listas!$B$13&lt;&gt;"OK"),"n.a.",SUMIFS(Lotes!$L$5:$L$204,Lotes!$B$5:$B$204,A11)))</x:f>
        <x:v>4760</x:v>
      </x:c>
      <x:c r="K11" s="173" t="n">
        <x:f>IF(A11="","",IF(OR(P11&lt;&gt;"",COUNTIFS(Lotes!$B$5:$B$204,A11,Lotes!$U$5:$U$204,1)&gt;0,Listas!$B$13&lt;&gt;"OK"),"n.a.",COUNTIFS(Lotes!$B$5:$B$204,A11,Lotes!$J$5:$J$204,"&gt;0")))</x:f>
        <x:v>1</x:v>
      </x:c>
      <x:c r="L11" s="173" t="n">
        <x:f>IF(A11="","",IF(OR(P11&lt;&gt;"",COUNTIFS(Lotes!$B$5:$B$204,A11,Lotes!$U$5:$U$204,1)&gt;0,Listas!$B$13&lt;&gt;"OK"),"n.a.",COUNTIFS(Lotes!$B$5:$B$204,A11,Lotes!$J$5:$J$204,"&gt;0",Lotes!$N$5:$N$204,"VENCIDO")))</x:f>
        <x:v>0</x:v>
      </x:c>
      <x:c r="M11" s="173" t="n">
        <x:f>IF(A11="","",IF(OR(P11&lt;&gt;"",COUNTIFS(Lotes!$B$5:$B$204,A11,Lotes!$U$5:$U$204,1)&gt;0,Listas!$B$13&lt;&gt;"OK"),"n.a.",COUNTIFS(Lotes!$B$5:$B$204,A11,Lotes!$J$5:$J$204,"&gt;0",Lotes!$N$5:$N$204,"CRÍTICO")+COUNTIFS(Lotes!$B$5:$B$204,A11,Lotes!$J$5:$J$204,"&gt;0",Lotes!$N$5:$N$204,"VENCE NA JANELA")))</x:f>
        <x:v>0</x:v>
      </x:c>
      <x:c r="N11" s="173" t="str">
        <x:f>IF(A11="","",IF(OR(P11&lt;&gt;"",COUNTIFS(Lotes!$B$5:$B$204,A11,Lotes!$U$5:$U$204,1)&gt;0,Listas!$B$13&lt;&gt;"OK"),"REVISAR DADOS",IF(H11="Inativo","INATIVO",IF(Q11&lt;=F11,"REPOR","OK"))))</x:f>
        <x:v>OK</x:v>
      </x:c>
      <x:c r="O11" s="27" t="str">
        <x:v>Saco fechado</x:v>
      </x:c>
      <x:c r="P11" s="163" t="str">
        <x:f>IF(COUNTA(A11:H11,O11)=0,"",IF(OR(A11="",COUNTIFS($A$5:$A$204,A11)&lt;&gt;1),"SKU ausente ou duplicado",IF(OR(B11="",D11=""),"Produto ou unidade ausente",IF(OR(NOT(ISNUMBER(F11)),F11&lt;0,NOT(ISNUMBER(G11)),G11&lt;0),"Mínimo ou custo inválido",IF(AND(H11&lt;&gt;"Ativo",H11&lt;&gt;"Inativo"),"Status de produto inválido","")))))</x:f>
      </x:c>
      <x:c r="Q11" s="163" t="n">
        <x:f>IF(A11="","",IF(OR(P11&lt;&gt;"",COUNTIFS(Lotes!$B$5:$B$204,A11,Lotes!$U$5:$U$204,1)&gt;0,Listas!$B$13&lt;&gt;"OK"),"n.a.",SUMIFS(Lotes!$V$5:$V$204,Lotes!$B$5:$B$204,A11)))</x:f>
        <x:v>40</x:v>
      </x:c>
      <x:c r="R11" s="163" t="n">
        <x:f>IF(P11="",0,1)</x:f>
        <x:v>0</x:v>
      </x:c>
      <x:c r="S11" s="163" t="n">
        <x:f>IF(COUNTA(A11:H11,O11)=0,0,IF(OR(Listas!$B$19="Todos",A11=Listas!$B$19,A11=""),1,0))</x:f>
        <x:v>1</x:v>
      </x:c>
      <x:c r="T11" s="163" t="n">
        <x:f>IF(S11=1,COUNTIFS($S$5:S11,1),0)</x:f>
        <x:v>7</x:v>
      </x:c>
      <x:c r="U11" s="1"/>
      <x:c r="V11" s="1"/>
      <x:c r="W11" s="1"/>
    </x:row>
    <x:row r="12" ht="32" customHeight="1">
      <x:c r="A12" s="170" t="str">
        <x:v>SKU-008</x:v>
      </x:c>
      <x:c r="B12" s="170" t="str">
        <x:v>Desinfetante 2 L</x:v>
      </x:c>
      <x:c r="C12" s="170" t="str">
        <x:v>Limpeza</x:v>
      </x:c>
      <x:c r="D12" s="170" t="str">
        <x:v>un</x:v>
      </x:c>
      <x:c r="E12" s="170" t="str">
        <x:v>D-02</x:v>
      </x:c>
      <x:c r="F12" s="171" t="n">
        <x:v>90</x:v>
      </x:c>
      <x:c r="G12" s="172" t="n">
        <x:v>8.6</x:v>
      </x:c>
      <x:c r="H12" s="170" t="str">
        <x:v>Ativo</x:v>
      </x:c>
      <x:c r="I12" s="173" t="n">
        <x:f>IF(A12="","",IF(OR(P12&lt;&gt;"",COUNTIFS(Lotes!$B$5:$B$204,A12,Lotes!$U$5:$U$204,1)&gt;0,Listas!$B$13&lt;&gt;"OK"),"n.a.",SUMIFS(Lotes!$J$5:$J$204,Lotes!$B$5:$B$204,A12)))</x:f>
        <x:v>180</x:v>
      </x:c>
      <x:c r="J12" s="174" t="n">
        <x:f>IF(A12="","",IF(OR(P12&lt;&gt;"",COUNTIFS(Lotes!$B$5:$B$204,A12,Lotes!$U$5:$U$204,1)&gt;0,Listas!$B$13&lt;&gt;"OK"),"n.a.",SUMIFS(Lotes!$L$5:$L$204,Lotes!$B$5:$B$204,A12)))</x:f>
        <x:v>1512</x:v>
      </x:c>
      <x:c r="K12" s="173" t="n">
        <x:f>IF(A12="","",IF(OR(P12&lt;&gt;"",COUNTIFS(Lotes!$B$5:$B$204,A12,Lotes!$U$5:$U$204,1)&gt;0,Listas!$B$13&lt;&gt;"OK"),"n.a.",COUNTIFS(Lotes!$B$5:$B$204,A12,Lotes!$J$5:$J$204,"&gt;0")))</x:f>
        <x:v>1</x:v>
      </x:c>
      <x:c r="L12" s="173" t="n">
        <x:f>IF(A12="","",IF(OR(P12&lt;&gt;"",COUNTIFS(Lotes!$B$5:$B$204,A12,Lotes!$U$5:$U$204,1)&gt;0,Listas!$B$13&lt;&gt;"OK"),"n.a.",COUNTIFS(Lotes!$B$5:$B$204,A12,Lotes!$J$5:$J$204,"&gt;0",Lotes!$N$5:$N$204,"VENCIDO")))</x:f>
        <x:v>0</x:v>
      </x:c>
      <x:c r="M12" s="173" t="n">
        <x:f>IF(A12="","",IF(OR(P12&lt;&gt;"",COUNTIFS(Lotes!$B$5:$B$204,A12,Lotes!$U$5:$U$204,1)&gt;0,Listas!$B$13&lt;&gt;"OK"),"n.a.",COUNTIFS(Lotes!$B$5:$B$204,A12,Lotes!$J$5:$J$204,"&gt;0",Lotes!$N$5:$N$204,"CRÍTICO")+COUNTIFS(Lotes!$B$5:$B$204,A12,Lotes!$J$5:$J$204,"&gt;0",Lotes!$N$5:$N$204,"VENCE NA JANELA")))</x:f>
        <x:v>0</x:v>
      </x:c>
      <x:c r="N12" s="173" t="str">
        <x:f>IF(A12="","",IF(OR(P12&lt;&gt;"",COUNTIFS(Lotes!$B$5:$B$204,A12,Lotes!$U$5:$U$204,1)&gt;0,Listas!$B$13&lt;&gt;"OK"),"REVISAR DADOS",IF(H12="Inativo","INATIVO",IF(Q12&lt;=F12,"REPOR","OK"))))</x:f>
        <x:v>OK</x:v>
      </x:c>
      <x:c r="O12" s="27" t="str">
        <x:v>Uso profissional</x:v>
      </x:c>
      <x:c r="P12" s="163" t="str">
        <x:f>IF(COUNTA(A12:H12,O12)=0,"",IF(OR(A12="",COUNTIFS($A$5:$A$204,A12)&lt;&gt;1),"SKU ausente ou duplicado",IF(OR(B12="",D12=""),"Produto ou unidade ausente",IF(OR(NOT(ISNUMBER(F12)),F12&lt;0,NOT(ISNUMBER(G12)),G12&lt;0),"Mínimo ou custo inválido",IF(AND(H12&lt;&gt;"Ativo",H12&lt;&gt;"Inativo"),"Status de produto inválido","")))))</x:f>
      </x:c>
      <x:c r="Q12" s="163" t="n">
        <x:f>IF(A12="","",IF(OR(P12&lt;&gt;"",COUNTIFS(Lotes!$B$5:$B$204,A12,Lotes!$U$5:$U$204,1)&gt;0,Listas!$B$13&lt;&gt;"OK"),"n.a.",SUMIFS(Lotes!$V$5:$V$204,Lotes!$B$5:$B$204,A12)))</x:f>
        <x:v>180</x:v>
      </x:c>
      <x:c r="R12" s="163" t="n">
        <x:f>IF(P12="",0,1)</x:f>
        <x:v>0</x:v>
      </x:c>
      <x:c r="S12" s="163" t="n">
        <x:f>IF(COUNTA(A12:H12,O12)=0,0,IF(OR(Listas!$B$19="Todos",A12=Listas!$B$19,A12=""),1,0))</x:f>
        <x:v>1</x:v>
      </x:c>
      <x:c r="T12" s="163" t="n">
        <x:f>IF(S12=1,COUNTIFS($S$5:S12,1),0)</x:f>
        <x:v>8</x:v>
      </x:c>
      <x:c r="U12" s="1"/>
      <x:c r="V12" s="1"/>
      <x:c r="W12" s="1"/>
    </x:row>
    <x:row r="13" ht="32" customHeight="1">
      <x:c r="A13" s="170"/>
      <x:c r="B13" s="170"/>
      <x:c r="C13" s="170"/>
      <x:c r="D13" s="170"/>
      <x:c r="E13" s="170"/>
      <x:c r="F13" s="171"/>
      <x:c r="G13" s="172"/>
      <x:c r="H13" s="170"/>
      <x:c r="I13" s="173" t="str">
        <x:f>IF(A13="","",IF(OR(P13&lt;&gt;"",COUNTIFS(Lotes!$B$5:$B$204,A13,Lotes!$U$5:$U$204,1)&gt;0,Listas!$B$13&lt;&gt;"OK"),"n.a.",SUMIFS(Lotes!$J$5:$J$204,Lotes!$B$5:$B$204,A13)))</x:f>
      </x:c>
      <x:c r="J13" s="174" t="str">
        <x:f>IF(A13="","",IF(OR(P13&lt;&gt;"",COUNTIFS(Lotes!$B$5:$B$204,A13,Lotes!$U$5:$U$204,1)&gt;0,Listas!$B$13&lt;&gt;"OK"),"n.a.",SUMIFS(Lotes!$L$5:$L$204,Lotes!$B$5:$B$204,A13)))</x:f>
      </x:c>
      <x:c r="K13" s="173" t="str">
        <x:f>IF(A13="","",IF(OR(P13&lt;&gt;"",COUNTIFS(Lotes!$B$5:$B$204,A13,Lotes!$U$5:$U$204,1)&gt;0,Listas!$B$13&lt;&gt;"OK"),"n.a.",COUNTIFS(Lotes!$B$5:$B$204,A13,Lotes!$J$5:$J$204,"&gt;0")))</x:f>
      </x:c>
      <x:c r="L13" s="173" t="str">
        <x:f>IF(A13="","",IF(OR(P13&lt;&gt;"",COUNTIFS(Lotes!$B$5:$B$204,A13,Lotes!$U$5:$U$204,1)&gt;0,Listas!$B$13&lt;&gt;"OK"),"n.a.",COUNTIFS(Lotes!$B$5:$B$204,A13,Lotes!$J$5:$J$204,"&gt;0",Lotes!$N$5:$N$204,"VENCIDO")))</x:f>
      </x:c>
      <x:c r="M13" s="173" t="str">
        <x:f>IF(A13="","",IF(OR(P13&lt;&gt;"",COUNTIFS(Lotes!$B$5:$B$204,A13,Lotes!$U$5:$U$204,1)&gt;0,Listas!$B$13&lt;&gt;"OK"),"n.a.",COUNTIFS(Lotes!$B$5:$B$204,A13,Lotes!$J$5:$J$204,"&gt;0",Lotes!$N$5:$N$204,"CRÍTICO")+COUNTIFS(Lotes!$B$5:$B$204,A13,Lotes!$J$5:$J$204,"&gt;0",Lotes!$N$5:$N$204,"VENCE NA JANELA")))</x:f>
      </x:c>
      <x:c r="N13" s="173" t="str">
        <x:f>IF(A13="","",IF(OR(P13&lt;&gt;"",COUNTIFS(Lotes!$B$5:$B$204,A13,Lotes!$U$5:$U$204,1)&gt;0,Listas!$B$13&lt;&gt;"OK"),"REVISAR DADOS",IF(H13="Inativo","INATIVO",IF(Q13&lt;=F13,"REPOR","OK"))))</x:f>
      </x:c>
      <x:c r="O13" s="27"/>
      <x:c r="P13" s="163" t="str">
        <x:f>IF(COUNTA(A13:H13,O13)=0,"",IF(OR(A13="",COUNTIFS($A$5:$A$204,A13)&lt;&gt;1),"SKU ausente ou duplicado",IF(OR(B13="",D13=""),"Produto ou unidade ausente",IF(OR(NOT(ISNUMBER(F13)),F13&lt;0,NOT(ISNUMBER(G13)),G13&lt;0),"Mínimo ou custo inválido",IF(AND(H13&lt;&gt;"Ativo",H13&lt;&gt;"Inativo"),"Status de produto inválido","")))))</x:f>
      </x:c>
      <x:c r="Q13" s="163" t="str">
        <x:f>IF(A13="","",IF(OR(P13&lt;&gt;"",COUNTIFS(Lotes!$B$5:$B$204,A13,Lotes!$U$5:$U$204,1)&gt;0,Listas!$B$13&lt;&gt;"OK"),"n.a.",SUMIFS(Lotes!$V$5:$V$204,Lotes!$B$5:$B$204,A13)))</x:f>
      </x:c>
      <x:c r="R13" s="163" t="n">
        <x:f>IF(P13="",0,1)</x:f>
        <x:v>0</x:v>
      </x:c>
      <x:c r="S13" s="163" t="n">
        <x:f>IF(COUNTA(A13:H13,O13)=0,0,IF(OR(Listas!$B$19="Todos",A13=Listas!$B$19,A13=""),1,0))</x:f>
        <x:v>0</x:v>
      </x:c>
      <x:c r="T13" s="163" t="n">
        <x:f>IF(S13=1,COUNTIFS($S$5:S13,1),0)</x:f>
        <x:v>0</x:v>
      </x:c>
      <x:c r="U13" s="1"/>
      <x:c r="V13" s="1"/>
      <x:c r="W13" s="1"/>
    </x:row>
    <x:row r="14" ht="32" customHeight="1">
      <x:c r="A14" s="170"/>
      <x:c r="B14" s="170"/>
      <x:c r="C14" s="170"/>
      <x:c r="D14" s="170"/>
      <x:c r="E14" s="170"/>
      <x:c r="F14" s="171"/>
      <x:c r="G14" s="172"/>
      <x:c r="H14" s="170"/>
      <x:c r="I14" s="173" t="str">
        <x:f>IF(A14="","",IF(OR(P14&lt;&gt;"",COUNTIFS(Lotes!$B$5:$B$204,A14,Lotes!$U$5:$U$204,1)&gt;0,Listas!$B$13&lt;&gt;"OK"),"n.a.",SUMIFS(Lotes!$J$5:$J$204,Lotes!$B$5:$B$204,A14)))</x:f>
      </x:c>
      <x:c r="J14" s="174" t="str">
        <x:f>IF(A14="","",IF(OR(P14&lt;&gt;"",COUNTIFS(Lotes!$B$5:$B$204,A14,Lotes!$U$5:$U$204,1)&gt;0,Listas!$B$13&lt;&gt;"OK"),"n.a.",SUMIFS(Lotes!$L$5:$L$204,Lotes!$B$5:$B$204,A14)))</x:f>
      </x:c>
      <x:c r="K14" s="173" t="str">
        <x:f>IF(A14="","",IF(OR(P14&lt;&gt;"",COUNTIFS(Lotes!$B$5:$B$204,A14,Lotes!$U$5:$U$204,1)&gt;0,Listas!$B$13&lt;&gt;"OK"),"n.a.",COUNTIFS(Lotes!$B$5:$B$204,A14,Lotes!$J$5:$J$204,"&gt;0")))</x:f>
      </x:c>
      <x:c r="L14" s="173" t="str">
        <x:f>IF(A14="","",IF(OR(P14&lt;&gt;"",COUNTIFS(Lotes!$B$5:$B$204,A14,Lotes!$U$5:$U$204,1)&gt;0,Listas!$B$13&lt;&gt;"OK"),"n.a.",COUNTIFS(Lotes!$B$5:$B$204,A14,Lotes!$J$5:$J$204,"&gt;0",Lotes!$N$5:$N$204,"VENCIDO")))</x:f>
      </x:c>
      <x:c r="M14" s="173" t="str">
        <x:f>IF(A14="","",IF(OR(P14&lt;&gt;"",COUNTIFS(Lotes!$B$5:$B$204,A14,Lotes!$U$5:$U$204,1)&gt;0,Listas!$B$13&lt;&gt;"OK"),"n.a.",COUNTIFS(Lotes!$B$5:$B$204,A14,Lotes!$J$5:$J$204,"&gt;0",Lotes!$N$5:$N$204,"CRÍTICO")+COUNTIFS(Lotes!$B$5:$B$204,A14,Lotes!$J$5:$J$204,"&gt;0",Lotes!$N$5:$N$204,"VENCE NA JANELA")))</x:f>
      </x:c>
      <x:c r="N14" s="173" t="str">
        <x:f>IF(A14="","",IF(OR(P14&lt;&gt;"",COUNTIFS(Lotes!$B$5:$B$204,A14,Lotes!$U$5:$U$204,1)&gt;0,Listas!$B$13&lt;&gt;"OK"),"REVISAR DADOS",IF(H14="Inativo","INATIVO",IF(Q14&lt;=F14,"REPOR","OK"))))</x:f>
      </x:c>
      <x:c r="O14" s="27"/>
      <x:c r="P14" s="163" t="str">
        <x:f>IF(COUNTA(A14:H14,O14)=0,"",IF(OR(A14="",COUNTIFS($A$5:$A$204,A14)&lt;&gt;1),"SKU ausente ou duplicado",IF(OR(B14="",D14=""),"Produto ou unidade ausente",IF(OR(NOT(ISNUMBER(F14)),F14&lt;0,NOT(ISNUMBER(G14)),G14&lt;0),"Mínimo ou custo inválido",IF(AND(H14&lt;&gt;"Ativo",H14&lt;&gt;"Inativo"),"Status de produto inválido","")))))</x:f>
      </x:c>
      <x:c r="Q14" s="163" t="str">
        <x:f>IF(A14="","",IF(OR(P14&lt;&gt;"",COUNTIFS(Lotes!$B$5:$B$204,A14,Lotes!$U$5:$U$204,1)&gt;0,Listas!$B$13&lt;&gt;"OK"),"n.a.",SUMIFS(Lotes!$V$5:$V$204,Lotes!$B$5:$B$204,A14)))</x:f>
      </x:c>
      <x:c r="R14" s="163" t="n">
        <x:f>IF(P14="",0,1)</x:f>
        <x:v>0</x:v>
      </x:c>
      <x:c r="S14" s="163" t="n">
        <x:f>IF(COUNTA(A14:H14,O14)=0,0,IF(OR(Listas!$B$19="Todos",A14=Listas!$B$19,A14=""),1,0))</x:f>
        <x:v>0</x:v>
      </x:c>
      <x:c r="T14" s="163" t="n">
        <x:f>IF(S14=1,COUNTIFS($S$5:S14,1),0)</x:f>
        <x:v>0</x:v>
      </x:c>
      <x:c r="U14" s="1"/>
      <x:c r="V14" s="1"/>
      <x:c r="W14" s="1"/>
    </x:row>
    <x:row r="15" ht="32" customHeight="1">
      <x:c r="A15" s="170"/>
      <x:c r="B15" s="170"/>
      <x:c r="C15" s="170"/>
      <x:c r="D15" s="170"/>
      <x:c r="E15" s="170"/>
      <x:c r="F15" s="171"/>
      <x:c r="G15" s="172"/>
      <x:c r="H15" s="170"/>
      <x:c r="I15" s="173" t="str">
        <x:f>IF(A15="","",IF(OR(P15&lt;&gt;"",COUNTIFS(Lotes!$B$5:$B$204,A15,Lotes!$U$5:$U$204,1)&gt;0,Listas!$B$13&lt;&gt;"OK"),"n.a.",SUMIFS(Lotes!$J$5:$J$204,Lotes!$B$5:$B$204,A15)))</x:f>
      </x:c>
      <x:c r="J15" s="174" t="str">
        <x:f>IF(A15="","",IF(OR(P15&lt;&gt;"",COUNTIFS(Lotes!$B$5:$B$204,A15,Lotes!$U$5:$U$204,1)&gt;0,Listas!$B$13&lt;&gt;"OK"),"n.a.",SUMIFS(Lotes!$L$5:$L$204,Lotes!$B$5:$B$204,A15)))</x:f>
      </x:c>
      <x:c r="K15" s="173" t="str">
        <x:f>IF(A15="","",IF(OR(P15&lt;&gt;"",COUNTIFS(Lotes!$B$5:$B$204,A15,Lotes!$U$5:$U$204,1)&gt;0,Listas!$B$13&lt;&gt;"OK"),"n.a.",COUNTIFS(Lotes!$B$5:$B$204,A15,Lotes!$J$5:$J$204,"&gt;0")))</x:f>
      </x:c>
      <x:c r="L15" s="173" t="str">
        <x:f>IF(A15="","",IF(OR(P15&lt;&gt;"",COUNTIFS(Lotes!$B$5:$B$204,A15,Lotes!$U$5:$U$204,1)&gt;0,Listas!$B$13&lt;&gt;"OK"),"n.a.",COUNTIFS(Lotes!$B$5:$B$204,A15,Lotes!$J$5:$J$204,"&gt;0",Lotes!$N$5:$N$204,"VENCIDO")))</x:f>
      </x:c>
      <x:c r="M15" s="173" t="str">
        <x:f>IF(A15="","",IF(OR(P15&lt;&gt;"",COUNTIFS(Lotes!$B$5:$B$204,A15,Lotes!$U$5:$U$204,1)&gt;0,Listas!$B$13&lt;&gt;"OK"),"n.a.",COUNTIFS(Lotes!$B$5:$B$204,A15,Lotes!$J$5:$J$204,"&gt;0",Lotes!$N$5:$N$204,"CRÍTICO")+COUNTIFS(Lotes!$B$5:$B$204,A15,Lotes!$J$5:$J$204,"&gt;0",Lotes!$N$5:$N$204,"VENCE NA JANELA")))</x:f>
      </x:c>
      <x:c r="N15" s="173" t="str">
        <x:f>IF(A15="","",IF(OR(P15&lt;&gt;"",COUNTIFS(Lotes!$B$5:$B$204,A15,Lotes!$U$5:$U$204,1)&gt;0,Listas!$B$13&lt;&gt;"OK"),"REVISAR DADOS",IF(H15="Inativo","INATIVO",IF(Q15&lt;=F15,"REPOR","OK"))))</x:f>
      </x:c>
      <x:c r="O15" s="27"/>
      <x:c r="P15" s="163" t="str">
        <x:f>IF(COUNTA(A15:H15,O15)=0,"",IF(OR(A15="",COUNTIFS($A$5:$A$204,A15)&lt;&gt;1),"SKU ausente ou duplicado",IF(OR(B15="",D15=""),"Produto ou unidade ausente",IF(OR(NOT(ISNUMBER(F15)),F15&lt;0,NOT(ISNUMBER(G15)),G15&lt;0),"Mínimo ou custo inválido",IF(AND(H15&lt;&gt;"Ativo",H15&lt;&gt;"Inativo"),"Status de produto inválido","")))))</x:f>
      </x:c>
      <x:c r="Q15" s="163" t="str">
        <x:f>IF(A15="","",IF(OR(P15&lt;&gt;"",COUNTIFS(Lotes!$B$5:$B$204,A15,Lotes!$U$5:$U$204,1)&gt;0,Listas!$B$13&lt;&gt;"OK"),"n.a.",SUMIFS(Lotes!$V$5:$V$204,Lotes!$B$5:$B$204,A15)))</x:f>
      </x:c>
      <x:c r="R15" s="163" t="n">
        <x:f>IF(P15="",0,1)</x:f>
        <x:v>0</x:v>
      </x:c>
      <x:c r="S15" s="163" t="n">
        <x:f>IF(COUNTA(A15:H15,O15)=0,0,IF(OR(Listas!$B$19="Todos",A15=Listas!$B$19,A15=""),1,0))</x:f>
        <x:v>0</x:v>
      </x:c>
      <x:c r="T15" s="163" t="n">
        <x:f>IF(S15=1,COUNTIFS($S$5:S15,1),0)</x:f>
        <x:v>0</x:v>
      </x:c>
      <x:c r="U15" s="1"/>
      <x:c r="V15" s="1"/>
      <x:c r="W15" s="1"/>
    </x:row>
    <x:row r="16" ht="32" customHeight="1">
      <x:c r="A16" s="170"/>
      <x:c r="B16" s="170"/>
      <x:c r="C16" s="170"/>
      <x:c r="D16" s="170"/>
      <x:c r="E16" s="170"/>
      <x:c r="F16" s="171"/>
      <x:c r="G16" s="172"/>
      <x:c r="H16" s="170"/>
      <x:c r="I16" s="173" t="str">
        <x:f>IF(A16="","",IF(OR(P16&lt;&gt;"",COUNTIFS(Lotes!$B$5:$B$204,A16,Lotes!$U$5:$U$204,1)&gt;0,Listas!$B$13&lt;&gt;"OK"),"n.a.",SUMIFS(Lotes!$J$5:$J$204,Lotes!$B$5:$B$204,A16)))</x:f>
      </x:c>
      <x:c r="J16" s="174" t="str">
        <x:f>IF(A16="","",IF(OR(P16&lt;&gt;"",COUNTIFS(Lotes!$B$5:$B$204,A16,Lotes!$U$5:$U$204,1)&gt;0,Listas!$B$13&lt;&gt;"OK"),"n.a.",SUMIFS(Lotes!$L$5:$L$204,Lotes!$B$5:$B$204,A16)))</x:f>
      </x:c>
      <x:c r="K16" s="173" t="str">
        <x:f>IF(A16="","",IF(OR(P16&lt;&gt;"",COUNTIFS(Lotes!$B$5:$B$204,A16,Lotes!$U$5:$U$204,1)&gt;0,Listas!$B$13&lt;&gt;"OK"),"n.a.",COUNTIFS(Lotes!$B$5:$B$204,A16,Lotes!$J$5:$J$204,"&gt;0")))</x:f>
      </x:c>
      <x:c r="L16" s="173" t="str">
        <x:f>IF(A16="","",IF(OR(P16&lt;&gt;"",COUNTIFS(Lotes!$B$5:$B$204,A16,Lotes!$U$5:$U$204,1)&gt;0,Listas!$B$13&lt;&gt;"OK"),"n.a.",COUNTIFS(Lotes!$B$5:$B$204,A16,Lotes!$J$5:$J$204,"&gt;0",Lotes!$N$5:$N$204,"VENCIDO")))</x:f>
      </x:c>
      <x:c r="M16" s="173" t="str">
        <x:f>IF(A16="","",IF(OR(P16&lt;&gt;"",COUNTIFS(Lotes!$B$5:$B$204,A16,Lotes!$U$5:$U$204,1)&gt;0,Listas!$B$13&lt;&gt;"OK"),"n.a.",COUNTIFS(Lotes!$B$5:$B$204,A16,Lotes!$J$5:$J$204,"&gt;0",Lotes!$N$5:$N$204,"CRÍTICO")+COUNTIFS(Lotes!$B$5:$B$204,A16,Lotes!$J$5:$J$204,"&gt;0",Lotes!$N$5:$N$204,"VENCE NA JANELA")))</x:f>
      </x:c>
      <x:c r="N16" s="173" t="str">
        <x:f>IF(A16="","",IF(OR(P16&lt;&gt;"",COUNTIFS(Lotes!$B$5:$B$204,A16,Lotes!$U$5:$U$204,1)&gt;0,Listas!$B$13&lt;&gt;"OK"),"REVISAR DADOS",IF(H16="Inativo","INATIVO",IF(Q16&lt;=F16,"REPOR","OK"))))</x:f>
      </x:c>
      <x:c r="O16" s="27"/>
      <x:c r="P16" s="163" t="str">
        <x:f>IF(COUNTA(A16:H16,O16)=0,"",IF(OR(A16="",COUNTIFS($A$5:$A$204,A16)&lt;&gt;1),"SKU ausente ou duplicado",IF(OR(B16="",D16=""),"Produto ou unidade ausente",IF(OR(NOT(ISNUMBER(F16)),F16&lt;0,NOT(ISNUMBER(G16)),G16&lt;0),"Mínimo ou custo inválido",IF(AND(H16&lt;&gt;"Ativo",H16&lt;&gt;"Inativo"),"Status de produto inválido","")))))</x:f>
      </x:c>
      <x:c r="Q16" s="163" t="str">
        <x:f>IF(A16="","",IF(OR(P16&lt;&gt;"",COUNTIFS(Lotes!$B$5:$B$204,A16,Lotes!$U$5:$U$204,1)&gt;0,Listas!$B$13&lt;&gt;"OK"),"n.a.",SUMIFS(Lotes!$V$5:$V$204,Lotes!$B$5:$B$204,A16)))</x:f>
      </x:c>
      <x:c r="R16" s="163" t="n">
        <x:f>IF(P16="",0,1)</x:f>
        <x:v>0</x:v>
      </x:c>
      <x:c r="S16" s="163" t="n">
        <x:f>IF(COUNTA(A16:H16,O16)=0,0,IF(OR(Listas!$B$19="Todos",A16=Listas!$B$19,A16=""),1,0))</x:f>
        <x:v>0</x:v>
      </x:c>
      <x:c r="T16" s="163" t="n">
        <x:f>IF(S16=1,COUNTIFS($S$5:S16,1),0)</x:f>
        <x:v>0</x:v>
      </x:c>
      <x:c r="U16" s="1"/>
      <x:c r="V16" s="1"/>
      <x:c r="W16" s="1"/>
    </x:row>
    <x:row r="17" ht="32" customHeight="1">
      <x:c r="A17" s="170"/>
      <x:c r="B17" s="170"/>
      <x:c r="C17" s="170"/>
      <x:c r="D17" s="170"/>
      <x:c r="E17" s="170"/>
      <x:c r="F17" s="171"/>
      <x:c r="G17" s="172"/>
      <x:c r="H17" s="170"/>
      <x:c r="I17" s="173" t="str">
        <x:f>IF(A17="","",IF(OR(P17&lt;&gt;"",COUNTIFS(Lotes!$B$5:$B$204,A17,Lotes!$U$5:$U$204,1)&gt;0,Listas!$B$13&lt;&gt;"OK"),"n.a.",SUMIFS(Lotes!$J$5:$J$204,Lotes!$B$5:$B$204,A17)))</x:f>
      </x:c>
      <x:c r="J17" s="174" t="str">
        <x:f>IF(A17="","",IF(OR(P17&lt;&gt;"",COUNTIFS(Lotes!$B$5:$B$204,A17,Lotes!$U$5:$U$204,1)&gt;0,Listas!$B$13&lt;&gt;"OK"),"n.a.",SUMIFS(Lotes!$L$5:$L$204,Lotes!$B$5:$B$204,A17)))</x:f>
      </x:c>
      <x:c r="K17" s="173" t="str">
        <x:f>IF(A17="","",IF(OR(P17&lt;&gt;"",COUNTIFS(Lotes!$B$5:$B$204,A17,Lotes!$U$5:$U$204,1)&gt;0,Listas!$B$13&lt;&gt;"OK"),"n.a.",COUNTIFS(Lotes!$B$5:$B$204,A17,Lotes!$J$5:$J$204,"&gt;0")))</x:f>
      </x:c>
      <x:c r="L17" s="173" t="str">
        <x:f>IF(A17="","",IF(OR(P17&lt;&gt;"",COUNTIFS(Lotes!$B$5:$B$204,A17,Lotes!$U$5:$U$204,1)&gt;0,Listas!$B$13&lt;&gt;"OK"),"n.a.",COUNTIFS(Lotes!$B$5:$B$204,A17,Lotes!$J$5:$J$204,"&gt;0",Lotes!$N$5:$N$204,"VENCIDO")))</x:f>
      </x:c>
      <x:c r="M17" s="173" t="str">
        <x:f>IF(A17="","",IF(OR(P17&lt;&gt;"",COUNTIFS(Lotes!$B$5:$B$204,A17,Lotes!$U$5:$U$204,1)&gt;0,Listas!$B$13&lt;&gt;"OK"),"n.a.",COUNTIFS(Lotes!$B$5:$B$204,A17,Lotes!$J$5:$J$204,"&gt;0",Lotes!$N$5:$N$204,"CRÍTICO")+COUNTIFS(Lotes!$B$5:$B$204,A17,Lotes!$J$5:$J$204,"&gt;0",Lotes!$N$5:$N$204,"VENCE NA JANELA")))</x:f>
      </x:c>
      <x:c r="N17" s="173" t="str">
        <x:f>IF(A17="","",IF(OR(P17&lt;&gt;"",COUNTIFS(Lotes!$B$5:$B$204,A17,Lotes!$U$5:$U$204,1)&gt;0,Listas!$B$13&lt;&gt;"OK"),"REVISAR DADOS",IF(H17="Inativo","INATIVO",IF(Q17&lt;=F17,"REPOR","OK"))))</x:f>
      </x:c>
      <x:c r="O17" s="27"/>
      <x:c r="P17" s="163" t="str">
        <x:f>IF(COUNTA(A17:H17,O17)=0,"",IF(OR(A17="",COUNTIFS($A$5:$A$204,A17)&lt;&gt;1),"SKU ausente ou duplicado",IF(OR(B17="",D17=""),"Produto ou unidade ausente",IF(OR(NOT(ISNUMBER(F17)),F17&lt;0,NOT(ISNUMBER(G17)),G17&lt;0),"Mínimo ou custo inválido",IF(AND(H17&lt;&gt;"Ativo",H17&lt;&gt;"Inativo"),"Status de produto inválido","")))))</x:f>
      </x:c>
      <x:c r="Q17" s="163" t="str">
        <x:f>IF(A17="","",IF(OR(P17&lt;&gt;"",COUNTIFS(Lotes!$B$5:$B$204,A17,Lotes!$U$5:$U$204,1)&gt;0,Listas!$B$13&lt;&gt;"OK"),"n.a.",SUMIFS(Lotes!$V$5:$V$204,Lotes!$B$5:$B$204,A17)))</x:f>
      </x:c>
      <x:c r="R17" s="163" t="n">
        <x:f>IF(P17="",0,1)</x:f>
        <x:v>0</x:v>
      </x:c>
      <x:c r="S17" s="163" t="n">
        <x:f>IF(COUNTA(A17:H17,O17)=0,0,IF(OR(Listas!$B$19="Todos",A17=Listas!$B$19,A17=""),1,0))</x:f>
        <x:v>0</x:v>
      </x:c>
      <x:c r="T17" s="163" t="n">
        <x:f>IF(S17=1,COUNTIFS($S$5:S17,1),0)</x:f>
        <x:v>0</x:v>
      </x:c>
      <x:c r="U17" s="1"/>
      <x:c r="V17" s="1"/>
      <x:c r="W17" s="1"/>
    </x:row>
    <x:row r="18" ht="32" customHeight="1">
      <x:c r="A18" s="170"/>
      <x:c r="B18" s="170"/>
      <x:c r="C18" s="170"/>
      <x:c r="D18" s="170"/>
      <x:c r="E18" s="170"/>
      <x:c r="F18" s="171"/>
      <x:c r="G18" s="172"/>
      <x:c r="H18" s="170"/>
      <x:c r="I18" s="173" t="str">
        <x:f>IF(A18="","",IF(OR(P18&lt;&gt;"",COUNTIFS(Lotes!$B$5:$B$204,A18,Lotes!$U$5:$U$204,1)&gt;0,Listas!$B$13&lt;&gt;"OK"),"n.a.",SUMIFS(Lotes!$J$5:$J$204,Lotes!$B$5:$B$204,A18)))</x:f>
      </x:c>
      <x:c r="J18" s="174" t="str">
        <x:f>IF(A18="","",IF(OR(P18&lt;&gt;"",COUNTIFS(Lotes!$B$5:$B$204,A18,Lotes!$U$5:$U$204,1)&gt;0,Listas!$B$13&lt;&gt;"OK"),"n.a.",SUMIFS(Lotes!$L$5:$L$204,Lotes!$B$5:$B$204,A18)))</x:f>
      </x:c>
      <x:c r="K18" s="173" t="str">
        <x:f>IF(A18="","",IF(OR(P18&lt;&gt;"",COUNTIFS(Lotes!$B$5:$B$204,A18,Lotes!$U$5:$U$204,1)&gt;0,Listas!$B$13&lt;&gt;"OK"),"n.a.",COUNTIFS(Lotes!$B$5:$B$204,A18,Lotes!$J$5:$J$204,"&gt;0")))</x:f>
      </x:c>
      <x:c r="L18" s="173" t="str">
        <x:f>IF(A18="","",IF(OR(P18&lt;&gt;"",COUNTIFS(Lotes!$B$5:$B$204,A18,Lotes!$U$5:$U$204,1)&gt;0,Listas!$B$13&lt;&gt;"OK"),"n.a.",COUNTIFS(Lotes!$B$5:$B$204,A18,Lotes!$J$5:$J$204,"&gt;0",Lotes!$N$5:$N$204,"VENCIDO")))</x:f>
      </x:c>
      <x:c r="M18" s="173" t="str">
        <x:f>IF(A18="","",IF(OR(P18&lt;&gt;"",COUNTIFS(Lotes!$B$5:$B$204,A18,Lotes!$U$5:$U$204,1)&gt;0,Listas!$B$13&lt;&gt;"OK"),"n.a.",COUNTIFS(Lotes!$B$5:$B$204,A18,Lotes!$J$5:$J$204,"&gt;0",Lotes!$N$5:$N$204,"CRÍTICO")+COUNTIFS(Lotes!$B$5:$B$204,A18,Lotes!$J$5:$J$204,"&gt;0",Lotes!$N$5:$N$204,"VENCE NA JANELA")))</x:f>
      </x:c>
      <x:c r="N18" s="173" t="str">
        <x:f>IF(A18="","",IF(OR(P18&lt;&gt;"",COUNTIFS(Lotes!$B$5:$B$204,A18,Lotes!$U$5:$U$204,1)&gt;0,Listas!$B$13&lt;&gt;"OK"),"REVISAR DADOS",IF(H18="Inativo","INATIVO",IF(Q18&lt;=F18,"REPOR","OK"))))</x:f>
      </x:c>
      <x:c r="O18" s="27"/>
      <x:c r="P18" s="163" t="str">
        <x:f>IF(COUNTA(A18:H18,O18)=0,"",IF(OR(A18="",COUNTIFS($A$5:$A$204,A18)&lt;&gt;1),"SKU ausente ou duplicado",IF(OR(B18="",D18=""),"Produto ou unidade ausente",IF(OR(NOT(ISNUMBER(F18)),F18&lt;0,NOT(ISNUMBER(G18)),G18&lt;0),"Mínimo ou custo inválido",IF(AND(H18&lt;&gt;"Ativo",H18&lt;&gt;"Inativo"),"Status de produto inválido","")))))</x:f>
      </x:c>
      <x:c r="Q18" s="163" t="str">
        <x:f>IF(A18="","",IF(OR(P18&lt;&gt;"",COUNTIFS(Lotes!$B$5:$B$204,A18,Lotes!$U$5:$U$204,1)&gt;0,Listas!$B$13&lt;&gt;"OK"),"n.a.",SUMIFS(Lotes!$V$5:$V$204,Lotes!$B$5:$B$204,A18)))</x:f>
      </x:c>
      <x:c r="R18" s="163" t="n">
        <x:f>IF(P18="",0,1)</x:f>
        <x:v>0</x:v>
      </x:c>
      <x:c r="S18" s="163" t="n">
        <x:f>IF(COUNTA(A18:H18,O18)=0,0,IF(OR(Listas!$B$19="Todos",A18=Listas!$B$19,A18=""),1,0))</x:f>
        <x:v>0</x:v>
      </x:c>
      <x:c r="T18" s="163" t="n">
        <x:f>IF(S18=1,COUNTIFS($S$5:S18,1),0)</x:f>
        <x:v>0</x:v>
      </x:c>
      <x:c r="U18" s="1"/>
      <x:c r="V18" s="1"/>
      <x:c r="W18" s="1"/>
    </x:row>
    <x:row r="19" ht="32" customHeight="1">
      <x:c r="A19" s="170"/>
      <x:c r="B19" s="170"/>
      <x:c r="C19" s="170"/>
      <x:c r="D19" s="170"/>
      <x:c r="E19" s="170"/>
      <x:c r="F19" s="171"/>
      <x:c r="G19" s="172"/>
      <x:c r="H19" s="170"/>
      <x:c r="I19" s="173" t="str">
        <x:f>IF(A19="","",IF(OR(P19&lt;&gt;"",COUNTIFS(Lotes!$B$5:$B$204,A19,Lotes!$U$5:$U$204,1)&gt;0,Listas!$B$13&lt;&gt;"OK"),"n.a.",SUMIFS(Lotes!$J$5:$J$204,Lotes!$B$5:$B$204,A19)))</x:f>
      </x:c>
      <x:c r="J19" s="174" t="str">
        <x:f>IF(A19="","",IF(OR(P19&lt;&gt;"",COUNTIFS(Lotes!$B$5:$B$204,A19,Lotes!$U$5:$U$204,1)&gt;0,Listas!$B$13&lt;&gt;"OK"),"n.a.",SUMIFS(Lotes!$L$5:$L$204,Lotes!$B$5:$B$204,A19)))</x:f>
      </x:c>
      <x:c r="K19" s="173" t="str">
        <x:f>IF(A19="","",IF(OR(P19&lt;&gt;"",COUNTIFS(Lotes!$B$5:$B$204,A19,Lotes!$U$5:$U$204,1)&gt;0,Listas!$B$13&lt;&gt;"OK"),"n.a.",COUNTIFS(Lotes!$B$5:$B$204,A19,Lotes!$J$5:$J$204,"&gt;0")))</x:f>
      </x:c>
      <x:c r="L19" s="173" t="str">
        <x:f>IF(A19="","",IF(OR(P19&lt;&gt;"",COUNTIFS(Lotes!$B$5:$B$204,A19,Lotes!$U$5:$U$204,1)&gt;0,Listas!$B$13&lt;&gt;"OK"),"n.a.",COUNTIFS(Lotes!$B$5:$B$204,A19,Lotes!$J$5:$J$204,"&gt;0",Lotes!$N$5:$N$204,"VENCIDO")))</x:f>
      </x:c>
      <x:c r="M19" s="173" t="str">
        <x:f>IF(A19="","",IF(OR(P19&lt;&gt;"",COUNTIFS(Lotes!$B$5:$B$204,A19,Lotes!$U$5:$U$204,1)&gt;0,Listas!$B$13&lt;&gt;"OK"),"n.a.",COUNTIFS(Lotes!$B$5:$B$204,A19,Lotes!$J$5:$J$204,"&gt;0",Lotes!$N$5:$N$204,"CRÍTICO")+COUNTIFS(Lotes!$B$5:$B$204,A19,Lotes!$J$5:$J$204,"&gt;0",Lotes!$N$5:$N$204,"VENCE NA JANELA")))</x:f>
      </x:c>
      <x:c r="N19" s="173" t="str">
        <x:f>IF(A19="","",IF(OR(P19&lt;&gt;"",COUNTIFS(Lotes!$B$5:$B$204,A19,Lotes!$U$5:$U$204,1)&gt;0,Listas!$B$13&lt;&gt;"OK"),"REVISAR DADOS",IF(H19="Inativo","INATIVO",IF(Q19&lt;=F19,"REPOR","OK"))))</x:f>
      </x:c>
      <x:c r="O19" s="27"/>
      <x:c r="P19" s="163" t="str">
        <x:f>IF(COUNTA(A19:H19,O19)=0,"",IF(OR(A19="",COUNTIFS($A$5:$A$204,A19)&lt;&gt;1),"SKU ausente ou duplicado",IF(OR(B19="",D19=""),"Produto ou unidade ausente",IF(OR(NOT(ISNUMBER(F19)),F19&lt;0,NOT(ISNUMBER(G19)),G19&lt;0),"Mínimo ou custo inválido",IF(AND(H19&lt;&gt;"Ativo",H19&lt;&gt;"Inativo"),"Status de produto inválido","")))))</x:f>
      </x:c>
      <x:c r="Q19" s="163" t="str">
        <x:f>IF(A19="","",IF(OR(P19&lt;&gt;"",COUNTIFS(Lotes!$B$5:$B$204,A19,Lotes!$U$5:$U$204,1)&gt;0,Listas!$B$13&lt;&gt;"OK"),"n.a.",SUMIFS(Lotes!$V$5:$V$204,Lotes!$B$5:$B$204,A19)))</x:f>
      </x:c>
      <x:c r="R19" s="163" t="n">
        <x:f>IF(P19="",0,1)</x:f>
        <x:v>0</x:v>
      </x:c>
      <x:c r="S19" s="163" t="n">
        <x:f>IF(COUNTA(A19:H19,O19)=0,0,IF(OR(Listas!$B$19="Todos",A19=Listas!$B$19,A19=""),1,0))</x:f>
        <x:v>0</x:v>
      </x:c>
      <x:c r="T19" s="163" t="n">
        <x:f>IF(S19=1,COUNTIFS($S$5:S19,1),0)</x:f>
        <x:v>0</x:v>
      </x:c>
      <x:c r="U19" s="1"/>
      <x:c r="V19" s="1"/>
      <x:c r="W19" s="1"/>
    </x:row>
    <x:row r="20" ht="32" customHeight="1">
      <x:c r="A20" s="170"/>
      <x:c r="B20" s="170"/>
      <x:c r="C20" s="170"/>
      <x:c r="D20" s="170"/>
      <x:c r="E20" s="170"/>
      <x:c r="F20" s="171"/>
      <x:c r="G20" s="172"/>
      <x:c r="H20" s="170"/>
      <x:c r="I20" s="173" t="str">
        <x:f>IF(A20="","",IF(OR(P20&lt;&gt;"",COUNTIFS(Lotes!$B$5:$B$204,A20,Lotes!$U$5:$U$204,1)&gt;0,Listas!$B$13&lt;&gt;"OK"),"n.a.",SUMIFS(Lotes!$J$5:$J$204,Lotes!$B$5:$B$204,A20)))</x:f>
      </x:c>
      <x:c r="J20" s="174" t="str">
        <x:f>IF(A20="","",IF(OR(P20&lt;&gt;"",COUNTIFS(Lotes!$B$5:$B$204,A20,Lotes!$U$5:$U$204,1)&gt;0,Listas!$B$13&lt;&gt;"OK"),"n.a.",SUMIFS(Lotes!$L$5:$L$204,Lotes!$B$5:$B$204,A20)))</x:f>
      </x:c>
      <x:c r="K20" s="173" t="str">
        <x:f>IF(A20="","",IF(OR(P20&lt;&gt;"",COUNTIFS(Lotes!$B$5:$B$204,A20,Lotes!$U$5:$U$204,1)&gt;0,Listas!$B$13&lt;&gt;"OK"),"n.a.",COUNTIFS(Lotes!$B$5:$B$204,A20,Lotes!$J$5:$J$204,"&gt;0")))</x:f>
      </x:c>
      <x:c r="L20" s="173" t="str">
        <x:f>IF(A20="","",IF(OR(P20&lt;&gt;"",COUNTIFS(Lotes!$B$5:$B$204,A20,Lotes!$U$5:$U$204,1)&gt;0,Listas!$B$13&lt;&gt;"OK"),"n.a.",COUNTIFS(Lotes!$B$5:$B$204,A20,Lotes!$J$5:$J$204,"&gt;0",Lotes!$N$5:$N$204,"VENCIDO")))</x:f>
      </x:c>
      <x:c r="M20" s="173" t="str">
        <x:f>IF(A20="","",IF(OR(P20&lt;&gt;"",COUNTIFS(Lotes!$B$5:$B$204,A20,Lotes!$U$5:$U$204,1)&gt;0,Listas!$B$13&lt;&gt;"OK"),"n.a.",COUNTIFS(Lotes!$B$5:$B$204,A20,Lotes!$J$5:$J$204,"&gt;0",Lotes!$N$5:$N$204,"CRÍTICO")+COUNTIFS(Lotes!$B$5:$B$204,A20,Lotes!$J$5:$J$204,"&gt;0",Lotes!$N$5:$N$204,"VENCE NA JANELA")))</x:f>
      </x:c>
      <x:c r="N20" s="173" t="str">
        <x:f>IF(A20="","",IF(OR(P20&lt;&gt;"",COUNTIFS(Lotes!$B$5:$B$204,A20,Lotes!$U$5:$U$204,1)&gt;0,Listas!$B$13&lt;&gt;"OK"),"REVISAR DADOS",IF(H20="Inativo","INATIVO",IF(Q20&lt;=F20,"REPOR","OK"))))</x:f>
      </x:c>
      <x:c r="O20" s="27"/>
      <x:c r="P20" s="163" t="str">
        <x:f>IF(COUNTA(A20:H20,O20)=0,"",IF(OR(A20="",COUNTIFS($A$5:$A$204,A20)&lt;&gt;1),"SKU ausente ou duplicado",IF(OR(B20="",D20=""),"Produto ou unidade ausente",IF(OR(NOT(ISNUMBER(F20)),F20&lt;0,NOT(ISNUMBER(G20)),G20&lt;0),"Mínimo ou custo inválido",IF(AND(H20&lt;&gt;"Ativo",H20&lt;&gt;"Inativo"),"Status de produto inválido","")))))</x:f>
      </x:c>
      <x:c r="Q20" s="163" t="str">
        <x:f>IF(A20="","",IF(OR(P20&lt;&gt;"",COUNTIFS(Lotes!$B$5:$B$204,A20,Lotes!$U$5:$U$204,1)&gt;0,Listas!$B$13&lt;&gt;"OK"),"n.a.",SUMIFS(Lotes!$V$5:$V$204,Lotes!$B$5:$B$204,A20)))</x:f>
      </x:c>
      <x:c r="R20" s="163" t="n">
        <x:f>IF(P20="",0,1)</x:f>
        <x:v>0</x:v>
      </x:c>
      <x:c r="S20" s="163" t="n">
        <x:f>IF(COUNTA(A20:H20,O20)=0,0,IF(OR(Listas!$B$19="Todos",A20=Listas!$B$19,A20=""),1,0))</x:f>
        <x:v>0</x:v>
      </x:c>
      <x:c r="T20" s="163" t="n">
        <x:f>IF(S20=1,COUNTIFS($S$5:S20,1),0)</x:f>
        <x:v>0</x:v>
      </x:c>
      <x:c r="U20" s="1"/>
      <x:c r="V20" s="1"/>
      <x:c r="W20" s="1"/>
    </x:row>
    <x:row r="21" ht="32" customHeight="1">
      <x:c r="A21" s="170"/>
      <x:c r="B21" s="170"/>
      <x:c r="C21" s="170"/>
      <x:c r="D21" s="170"/>
      <x:c r="E21" s="170"/>
      <x:c r="F21" s="171"/>
      <x:c r="G21" s="172"/>
      <x:c r="H21" s="170"/>
      <x:c r="I21" s="173" t="str">
        <x:f>IF(A21="","",IF(OR(P21&lt;&gt;"",COUNTIFS(Lotes!$B$5:$B$204,A21,Lotes!$U$5:$U$204,1)&gt;0,Listas!$B$13&lt;&gt;"OK"),"n.a.",SUMIFS(Lotes!$J$5:$J$204,Lotes!$B$5:$B$204,A21)))</x:f>
      </x:c>
      <x:c r="J21" s="174" t="str">
        <x:f>IF(A21="","",IF(OR(P21&lt;&gt;"",COUNTIFS(Lotes!$B$5:$B$204,A21,Lotes!$U$5:$U$204,1)&gt;0,Listas!$B$13&lt;&gt;"OK"),"n.a.",SUMIFS(Lotes!$L$5:$L$204,Lotes!$B$5:$B$204,A21)))</x:f>
      </x:c>
      <x:c r="K21" s="173" t="str">
        <x:f>IF(A21="","",IF(OR(P21&lt;&gt;"",COUNTIFS(Lotes!$B$5:$B$204,A21,Lotes!$U$5:$U$204,1)&gt;0,Listas!$B$13&lt;&gt;"OK"),"n.a.",COUNTIFS(Lotes!$B$5:$B$204,A21,Lotes!$J$5:$J$204,"&gt;0")))</x:f>
      </x:c>
      <x:c r="L21" s="173" t="str">
        <x:f>IF(A21="","",IF(OR(P21&lt;&gt;"",COUNTIFS(Lotes!$B$5:$B$204,A21,Lotes!$U$5:$U$204,1)&gt;0,Listas!$B$13&lt;&gt;"OK"),"n.a.",COUNTIFS(Lotes!$B$5:$B$204,A21,Lotes!$J$5:$J$204,"&gt;0",Lotes!$N$5:$N$204,"VENCIDO")))</x:f>
      </x:c>
      <x:c r="M21" s="173" t="str">
        <x:f>IF(A21="","",IF(OR(P21&lt;&gt;"",COUNTIFS(Lotes!$B$5:$B$204,A21,Lotes!$U$5:$U$204,1)&gt;0,Listas!$B$13&lt;&gt;"OK"),"n.a.",COUNTIFS(Lotes!$B$5:$B$204,A21,Lotes!$J$5:$J$204,"&gt;0",Lotes!$N$5:$N$204,"CRÍTICO")+COUNTIFS(Lotes!$B$5:$B$204,A21,Lotes!$J$5:$J$204,"&gt;0",Lotes!$N$5:$N$204,"VENCE NA JANELA")))</x:f>
      </x:c>
      <x:c r="N21" s="173" t="str">
        <x:f>IF(A21="","",IF(OR(P21&lt;&gt;"",COUNTIFS(Lotes!$B$5:$B$204,A21,Lotes!$U$5:$U$204,1)&gt;0,Listas!$B$13&lt;&gt;"OK"),"REVISAR DADOS",IF(H21="Inativo","INATIVO",IF(Q21&lt;=F21,"REPOR","OK"))))</x:f>
      </x:c>
      <x:c r="O21" s="27"/>
      <x:c r="P21" s="163" t="str">
        <x:f>IF(COUNTA(A21:H21,O21)=0,"",IF(OR(A21="",COUNTIFS($A$5:$A$204,A21)&lt;&gt;1),"SKU ausente ou duplicado",IF(OR(B21="",D21=""),"Produto ou unidade ausente",IF(OR(NOT(ISNUMBER(F21)),F21&lt;0,NOT(ISNUMBER(G21)),G21&lt;0),"Mínimo ou custo inválido",IF(AND(H21&lt;&gt;"Ativo",H21&lt;&gt;"Inativo"),"Status de produto inválido","")))))</x:f>
      </x:c>
      <x:c r="Q21" s="163" t="str">
        <x:f>IF(A21="","",IF(OR(P21&lt;&gt;"",COUNTIFS(Lotes!$B$5:$B$204,A21,Lotes!$U$5:$U$204,1)&gt;0,Listas!$B$13&lt;&gt;"OK"),"n.a.",SUMIFS(Lotes!$V$5:$V$204,Lotes!$B$5:$B$204,A21)))</x:f>
      </x:c>
      <x:c r="R21" s="163" t="n">
        <x:f>IF(P21="",0,1)</x:f>
        <x:v>0</x:v>
      </x:c>
      <x:c r="S21" s="163" t="n">
        <x:f>IF(COUNTA(A21:H21,O21)=0,0,IF(OR(Listas!$B$19="Todos",A21=Listas!$B$19,A21=""),1,0))</x:f>
        <x:v>0</x:v>
      </x:c>
      <x:c r="T21" s="163" t="n">
        <x:f>IF(S21=1,COUNTIFS($S$5:S21,1),0)</x:f>
        <x:v>0</x:v>
      </x:c>
      <x:c r="U21" s="1"/>
      <x:c r="V21" s="1"/>
      <x:c r="W21" s="1"/>
    </x:row>
    <x:row r="22" ht="32" customHeight="1">
      <x:c r="A22" s="170"/>
      <x:c r="B22" s="170"/>
      <x:c r="C22" s="170"/>
      <x:c r="D22" s="170"/>
      <x:c r="E22" s="170"/>
      <x:c r="F22" s="171"/>
      <x:c r="G22" s="172"/>
      <x:c r="H22" s="170"/>
      <x:c r="I22" s="173" t="str">
        <x:f>IF(A22="","",IF(OR(P22&lt;&gt;"",COUNTIFS(Lotes!$B$5:$B$204,A22,Lotes!$U$5:$U$204,1)&gt;0,Listas!$B$13&lt;&gt;"OK"),"n.a.",SUMIFS(Lotes!$J$5:$J$204,Lotes!$B$5:$B$204,A22)))</x:f>
      </x:c>
      <x:c r="J22" s="174" t="str">
        <x:f>IF(A22="","",IF(OR(P22&lt;&gt;"",COUNTIFS(Lotes!$B$5:$B$204,A22,Lotes!$U$5:$U$204,1)&gt;0,Listas!$B$13&lt;&gt;"OK"),"n.a.",SUMIFS(Lotes!$L$5:$L$204,Lotes!$B$5:$B$204,A22)))</x:f>
      </x:c>
      <x:c r="K22" s="173" t="str">
        <x:f>IF(A22="","",IF(OR(P22&lt;&gt;"",COUNTIFS(Lotes!$B$5:$B$204,A22,Lotes!$U$5:$U$204,1)&gt;0,Listas!$B$13&lt;&gt;"OK"),"n.a.",COUNTIFS(Lotes!$B$5:$B$204,A22,Lotes!$J$5:$J$204,"&gt;0")))</x:f>
      </x:c>
      <x:c r="L22" s="173" t="str">
        <x:f>IF(A22="","",IF(OR(P22&lt;&gt;"",COUNTIFS(Lotes!$B$5:$B$204,A22,Lotes!$U$5:$U$204,1)&gt;0,Listas!$B$13&lt;&gt;"OK"),"n.a.",COUNTIFS(Lotes!$B$5:$B$204,A22,Lotes!$J$5:$J$204,"&gt;0",Lotes!$N$5:$N$204,"VENCIDO")))</x:f>
      </x:c>
      <x:c r="M22" s="173" t="str">
        <x:f>IF(A22="","",IF(OR(P22&lt;&gt;"",COUNTIFS(Lotes!$B$5:$B$204,A22,Lotes!$U$5:$U$204,1)&gt;0,Listas!$B$13&lt;&gt;"OK"),"n.a.",COUNTIFS(Lotes!$B$5:$B$204,A22,Lotes!$J$5:$J$204,"&gt;0",Lotes!$N$5:$N$204,"CRÍTICO")+COUNTIFS(Lotes!$B$5:$B$204,A22,Lotes!$J$5:$J$204,"&gt;0",Lotes!$N$5:$N$204,"VENCE NA JANELA")))</x:f>
      </x:c>
      <x:c r="N22" s="173" t="str">
        <x:f>IF(A22="","",IF(OR(P22&lt;&gt;"",COUNTIFS(Lotes!$B$5:$B$204,A22,Lotes!$U$5:$U$204,1)&gt;0,Listas!$B$13&lt;&gt;"OK"),"REVISAR DADOS",IF(H22="Inativo","INATIVO",IF(Q22&lt;=F22,"REPOR","OK"))))</x:f>
      </x:c>
      <x:c r="O22" s="27"/>
      <x:c r="P22" s="163" t="str">
        <x:f>IF(COUNTA(A22:H22,O22)=0,"",IF(OR(A22="",COUNTIFS($A$5:$A$204,A22)&lt;&gt;1),"SKU ausente ou duplicado",IF(OR(B22="",D22=""),"Produto ou unidade ausente",IF(OR(NOT(ISNUMBER(F22)),F22&lt;0,NOT(ISNUMBER(G22)),G22&lt;0),"Mínimo ou custo inválido",IF(AND(H22&lt;&gt;"Ativo",H22&lt;&gt;"Inativo"),"Status de produto inválido","")))))</x:f>
      </x:c>
      <x:c r="Q22" s="163" t="str">
        <x:f>IF(A22="","",IF(OR(P22&lt;&gt;"",COUNTIFS(Lotes!$B$5:$B$204,A22,Lotes!$U$5:$U$204,1)&gt;0,Listas!$B$13&lt;&gt;"OK"),"n.a.",SUMIFS(Lotes!$V$5:$V$204,Lotes!$B$5:$B$204,A22)))</x:f>
      </x:c>
      <x:c r="R22" s="163" t="n">
        <x:f>IF(P22="",0,1)</x:f>
        <x:v>0</x:v>
      </x:c>
      <x:c r="S22" s="163" t="n">
        <x:f>IF(COUNTA(A22:H22,O22)=0,0,IF(OR(Listas!$B$19="Todos",A22=Listas!$B$19,A22=""),1,0))</x:f>
        <x:v>0</x:v>
      </x:c>
      <x:c r="T22" s="163" t="n">
        <x:f>IF(S22=1,COUNTIFS($S$5:S22,1),0)</x:f>
        <x:v>0</x:v>
      </x:c>
      <x:c r="U22" s="1"/>
      <x:c r="V22" s="1"/>
      <x:c r="W22" s="1"/>
    </x:row>
    <x:row r="23" ht="32" customHeight="1">
      <x:c r="A23" s="170"/>
      <x:c r="B23" s="170"/>
      <x:c r="C23" s="170"/>
      <x:c r="D23" s="170"/>
      <x:c r="E23" s="170"/>
      <x:c r="F23" s="171"/>
      <x:c r="G23" s="172"/>
      <x:c r="H23" s="170"/>
      <x:c r="I23" s="173" t="str">
        <x:f>IF(A23="","",IF(OR(P23&lt;&gt;"",COUNTIFS(Lotes!$B$5:$B$204,A23,Lotes!$U$5:$U$204,1)&gt;0,Listas!$B$13&lt;&gt;"OK"),"n.a.",SUMIFS(Lotes!$J$5:$J$204,Lotes!$B$5:$B$204,A23)))</x:f>
      </x:c>
      <x:c r="J23" s="174" t="str">
        <x:f>IF(A23="","",IF(OR(P23&lt;&gt;"",COUNTIFS(Lotes!$B$5:$B$204,A23,Lotes!$U$5:$U$204,1)&gt;0,Listas!$B$13&lt;&gt;"OK"),"n.a.",SUMIFS(Lotes!$L$5:$L$204,Lotes!$B$5:$B$204,A23)))</x:f>
      </x:c>
      <x:c r="K23" s="173" t="str">
        <x:f>IF(A23="","",IF(OR(P23&lt;&gt;"",COUNTIFS(Lotes!$B$5:$B$204,A23,Lotes!$U$5:$U$204,1)&gt;0,Listas!$B$13&lt;&gt;"OK"),"n.a.",COUNTIFS(Lotes!$B$5:$B$204,A23,Lotes!$J$5:$J$204,"&gt;0")))</x:f>
      </x:c>
      <x:c r="L23" s="173" t="str">
        <x:f>IF(A23="","",IF(OR(P23&lt;&gt;"",COUNTIFS(Lotes!$B$5:$B$204,A23,Lotes!$U$5:$U$204,1)&gt;0,Listas!$B$13&lt;&gt;"OK"),"n.a.",COUNTIFS(Lotes!$B$5:$B$204,A23,Lotes!$J$5:$J$204,"&gt;0",Lotes!$N$5:$N$204,"VENCIDO")))</x:f>
      </x:c>
      <x:c r="M23" s="173" t="str">
        <x:f>IF(A23="","",IF(OR(P23&lt;&gt;"",COUNTIFS(Lotes!$B$5:$B$204,A23,Lotes!$U$5:$U$204,1)&gt;0,Listas!$B$13&lt;&gt;"OK"),"n.a.",COUNTIFS(Lotes!$B$5:$B$204,A23,Lotes!$J$5:$J$204,"&gt;0",Lotes!$N$5:$N$204,"CRÍTICO")+COUNTIFS(Lotes!$B$5:$B$204,A23,Lotes!$J$5:$J$204,"&gt;0",Lotes!$N$5:$N$204,"VENCE NA JANELA")))</x:f>
      </x:c>
      <x:c r="N23" s="173" t="str">
        <x:f>IF(A23="","",IF(OR(P23&lt;&gt;"",COUNTIFS(Lotes!$B$5:$B$204,A23,Lotes!$U$5:$U$204,1)&gt;0,Listas!$B$13&lt;&gt;"OK"),"REVISAR DADOS",IF(H23="Inativo","INATIVO",IF(Q23&lt;=F23,"REPOR","OK"))))</x:f>
      </x:c>
      <x:c r="O23" s="27"/>
      <x:c r="P23" s="163" t="str">
        <x:f>IF(COUNTA(A23:H23,O23)=0,"",IF(OR(A23="",COUNTIFS($A$5:$A$204,A23)&lt;&gt;1),"SKU ausente ou duplicado",IF(OR(B23="",D23=""),"Produto ou unidade ausente",IF(OR(NOT(ISNUMBER(F23)),F23&lt;0,NOT(ISNUMBER(G23)),G23&lt;0),"Mínimo ou custo inválido",IF(AND(H23&lt;&gt;"Ativo",H23&lt;&gt;"Inativo"),"Status de produto inválido","")))))</x:f>
      </x:c>
      <x:c r="Q23" s="163" t="str">
        <x:f>IF(A23="","",IF(OR(P23&lt;&gt;"",COUNTIFS(Lotes!$B$5:$B$204,A23,Lotes!$U$5:$U$204,1)&gt;0,Listas!$B$13&lt;&gt;"OK"),"n.a.",SUMIFS(Lotes!$V$5:$V$204,Lotes!$B$5:$B$204,A23)))</x:f>
      </x:c>
      <x:c r="R23" s="163" t="n">
        <x:f>IF(P23="",0,1)</x:f>
        <x:v>0</x:v>
      </x:c>
      <x:c r="S23" s="163" t="n">
        <x:f>IF(COUNTA(A23:H23,O23)=0,0,IF(OR(Listas!$B$19="Todos",A23=Listas!$B$19,A23=""),1,0))</x:f>
        <x:v>0</x:v>
      </x:c>
      <x:c r="T23" s="163" t="n">
        <x:f>IF(S23=1,COUNTIFS($S$5:S23,1),0)</x:f>
        <x:v>0</x:v>
      </x:c>
      <x:c r="U23" s="1"/>
      <x:c r="V23" s="1"/>
      <x:c r="W23" s="1"/>
    </x:row>
    <x:row r="24" ht="32" customHeight="1">
      <x:c r="A24" s="170"/>
      <x:c r="B24" s="170"/>
      <x:c r="C24" s="170"/>
      <x:c r="D24" s="170"/>
      <x:c r="E24" s="170"/>
      <x:c r="F24" s="171"/>
      <x:c r="G24" s="172"/>
      <x:c r="H24" s="170"/>
      <x:c r="I24" s="173" t="str">
        <x:f>IF(A24="","",IF(OR(P24&lt;&gt;"",COUNTIFS(Lotes!$B$5:$B$204,A24,Lotes!$U$5:$U$204,1)&gt;0,Listas!$B$13&lt;&gt;"OK"),"n.a.",SUMIFS(Lotes!$J$5:$J$204,Lotes!$B$5:$B$204,A24)))</x:f>
      </x:c>
      <x:c r="J24" s="174" t="str">
        <x:f>IF(A24="","",IF(OR(P24&lt;&gt;"",COUNTIFS(Lotes!$B$5:$B$204,A24,Lotes!$U$5:$U$204,1)&gt;0,Listas!$B$13&lt;&gt;"OK"),"n.a.",SUMIFS(Lotes!$L$5:$L$204,Lotes!$B$5:$B$204,A24)))</x:f>
      </x:c>
      <x:c r="K24" s="173" t="str">
        <x:f>IF(A24="","",IF(OR(P24&lt;&gt;"",COUNTIFS(Lotes!$B$5:$B$204,A24,Lotes!$U$5:$U$204,1)&gt;0,Listas!$B$13&lt;&gt;"OK"),"n.a.",COUNTIFS(Lotes!$B$5:$B$204,A24,Lotes!$J$5:$J$204,"&gt;0")))</x:f>
      </x:c>
      <x:c r="L24" s="173" t="str">
        <x:f>IF(A24="","",IF(OR(P24&lt;&gt;"",COUNTIFS(Lotes!$B$5:$B$204,A24,Lotes!$U$5:$U$204,1)&gt;0,Listas!$B$13&lt;&gt;"OK"),"n.a.",COUNTIFS(Lotes!$B$5:$B$204,A24,Lotes!$J$5:$J$204,"&gt;0",Lotes!$N$5:$N$204,"VENCIDO")))</x:f>
      </x:c>
      <x:c r="M24" s="173" t="str">
        <x:f>IF(A24="","",IF(OR(P24&lt;&gt;"",COUNTIFS(Lotes!$B$5:$B$204,A24,Lotes!$U$5:$U$204,1)&gt;0,Listas!$B$13&lt;&gt;"OK"),"n.a.",COUNTIFS(Lotes!$B$5:$B$204,A24,Lotes!$J$5:$J$204,"&gt;0",Lotes!$N$5:$N$204,"CRÍTICO")+COUNTIFS(Lotes!$B$5:$B$204,A24,Lotes!$J$5:$J$204,"&gt;0",Lotes!$N$5:$N$204,"VENCE NA JANELA")))</x:f>
      </x:c>
      <x:c r="N24" s="173" t="str">
        <x:f>IF(A24="","",IF(OR(P24&lt;&gt;"",COUNTIFS(Lotes!$B$5:$B$204,A24,Lotes!$U$5:$U$204,1)&gt;0,Listas!$B$13&lt;&gt;"OK"),"REVISAR DADOS",IF(H24="Inativo","INATIVO",IF(Q24&lt;=F24,"REPOR","OK"))))</x:f>
      </x:c>
      <x:c r="O24" s="27"/>
      <x:c r="P24" s="163" t="str">
        <x:f>IF(COUNTA(A24:H24,O24)=0,"",IF(OR(A24="",COUNTIFS($A$5:$A$204,A24)&lt;&gt;1),"SKU ausente ou duplicado",IF(OR(B24="",D24=""),"Produto ou unidade ausente",IF(OR(NOT(ISNUMBER(F24)),F24&lt;0,NOT(ISNUMBER(G24)),G24&lt;0),"Mínimo ou custo inválido",IF(AND(H24&lt;&gt;"Ativo",H24&lt;&gt;"Inativo"),"Status de produto inválido","")))))</x:f>
      </x:c>
      <x:c r="Q24" s="163" t="str">
        <x:f>IF(A24="","",IF(OR(P24&lt;&gt;"",COUNTIFS(Lotes!$B$5:$B$204,A24,Lotes!$U$5:$U$204,1)&gt;0,Listas!$B$13&lt;&gt;"OK"),"n.a.",SUMIFS(Lotes!$V$5:$V$204,Lotes!$B$5:$B$204,A24)))</x:f>
      </x:c>
      <x:c r="R24" s="163" t="n">
        <x:f>IF(P24="",0,1)</x:f>
        <x:v>0</x:v>
      </x:c>
      <x:c r="S24" s="163" t="n">
        <x:f>IF(COUNTA(A24:H24,O24)=0,0,IF(OR(Listas!$B$19="Todos",A24=Listas!$B$19,A24=""),1,0))</x:f>
        <x:v>0</x:v>
      </x:c>
      <x:c r="T24" s="163" t="n">
        <x:f>IF(S24=1,COUNTIFS($S$5:S24,1),0)</x:f>
        <x:v>0</x:v>
      </x:c>
      <x:c r="U24" s="1"/>
      <x:c r="V24" s="1"/>
      <x:c r="W24" s="1"/>
    </x:row>
    <x:row r="25" ht="32" customHeight="1">
      <x:c r="A25" s="170"/>
      <x:c r="B25" s="170"/>
      <x:c r="C25" s="170"/>
      <x:c r="D25" s="170"/>
      <x:c r="E25" s="170"/>
      <x:c r="F25" s="171"/>
      <x:c r="G25" s="172"/>
      <x:c r="H25" s="170"/>
      <x:c r="I25" s="173" t="str">
        <x:f>IF(A25="","",IF(OR(P25&lt;&gt;"",COUNTIFS(Lotes!$B$5:$B$204,A25,Lotes!$U$5:$U$204,1)&gt;0,Listas!$B$13&lt;&gt;"OK"),"n.a.",SUMIFS(Lotes!$J$5:$J$204,Lotes!$B$5:$B$204,A25)))</x:f>
      </x:c>
      <x:c r="J25" s="174" t="str">
        <x:f>IF(A25="","",IF(OR(P25&lt;&gt;"",COUNTIFS(Lotes!$B$5:$B$204,A25,Lotes!$U$5:$U$204,1)&gt;0,Listas!$B$13&lt;&gt;"OK"),"n.a.",SUMIFS(Lotes!$L$5:$L$204,Lotes!$B$5:$B$204,A25)))</x:f>
      </x:c>
      <x:c r="K25" s="173" t="str">
        <x:f>IF(A25="","",IF(OR(P25&lt;&gt;"",COUNTIFS(Lotes!$B$5:$B$204,A25,Lotes!$U$5:$U$204,1)&gt;0,Listas!$B$13&lt;&gt;"OK"),"n.a.",COUNTIFS(Lotes!$B$5:$B$204,A25,Lotes!$J$5:$J$204,"&gt;0")))</x:f>
      </x:c>
      <x:c r="L25" s="173" t="str">
        <x:f>IF(A25="","",IF(OR(P25&lt;&gt;"",COUNTIFS(Lotes!$B$5:$B$204,A25,Lotes!$U$5:$U$204,1)&gt;0,Listas!$B$13&lt;&gt;"OK"),"n.a.",COUNTIFS(Lotes!$B$5:$B$204,A25,Lotes!$J$5:$J$204,"&gt;0",Lotes!$N$5:$N$204,"VENCIDO")))</x:f>
      </x:c>
      <x:c r="M25" s="173" t="str">
        <x:f>IF(A25="","",IF(OR(P25&lt;&gt;"",COUNTIFS(Lotes!$B$5:$B$204,A25,Lotes!$U$5:$U$204,1)&gt;0,Listas!$B$13&lt;&gt;"OK"),"n.a.",COUNTIFS(Lotes!$B$5:$B$204,A25,Lotes!$J$5:$J$204,"&gt;0",Lotes!$N$5:$N$204,"CRÍTICO")+COUNTIFS(Lotes!$B$5:$B$204,A25,Lotes!$J$5:$J$204,"&gt;0",Lotes!$N$5:$N$204,"VENCE NA JANELA")))</x:f>
      </x:c>
      <x:c r="N25" s="173" t="str">
        <x:f>IF(A25="","",IF(OR(P25&lt;&gt;"",COUNTIFS(Lotes!$B$5:$B$204,A25,Lotes!$U$5:$U$204,1)&gt;0,Listas!$B$13&lt;&gt;"OK"),"REVISAR DADOS",IF(H25="Inativo","INATIVO",IF(Q25&lt;=F25,"REPOR","OK"))))</x:f>
      </x:c>
      <x:c r="O25" s="27"/>
      <x:c r="P25" s="163" t="str">
        <x:f>IF(COUNTA(A25:H25,O25)=0,"",IF(OR(A25="",COUNTIFS($A$5:$A$204,A25)&lt;&gt;1),"SKU ausente ou duplicado",IF(OR(B25="",D25=""),"Produto ou unidade ausente",IF(OR(NOT(ISNUMBER(F25)),F25&lt;0,NOT(ISNUMBER(G25)),G25&lt;0),"Mínimo ou custo inválido",IF(AND(H25&lt;&gt;"Ativo",H25&lt;&gt;"Inativo"),"Status de produto inválido","")))))</x:f>
      </x:c>
      <x:c r="Q25" s="163" t="str">
        <x:f>IF(A25="","",IF(OR(P25&lt;&gt;"",COUNTIFS(Lotes!$B$5:$B$204,A25,Lotes!$U$5:$U$204,1)&gt;0,Listas!$B$13&lt;&gt;"OK"),"n.a.",SUMIFS(Lotes!$V$5:$V$204,Lotes!$B$5:$B$204,A25)))</x:f>
      </x:c>
      <x:c r="R25" s="163" t="n">
        <x:f>IF(P25="",0,1)</x:f>
        <x:v>0</x:v>
      </x:c>
      <x:c r="S25" s="163" t="n">
        <x:f>IF(COUNTA(A25:H25,O25)=0,0,IF(OR(Listas!$B$19="Todos",A25=Listas!$B$19,A25=""),1,0))</x:f>
        <x:v>0</x:v>
      </x:c>
      <x:c r="T25" s="163" t="n">
        <x:f>IF(S25=1,COUNTIFS($S$5:S25,1),0)</x:f>
        <x:v>0</x:v>
      </x:c>
      <x:c r="U25" s="1"/>
      <x:c r="V25" s="1"/>
      <x:c r="W25" s="1"/>
    </x:row>
    <x:row r="26" ht="32" customHeight="1">
      <x:c r="A26" s="170"/>
      <x:c r="B26" s="170"/>
      <x:c r="C26" s="170"/>
      <x:c r="D26" s="170"/>
      <x:c r="E26" s="170"/>
      <x:c r="F26" s="171"/>
      <x:c r="G26" s="172"/>
      <x:c r="H26" s="170"/>
      <x:c r="I26" s="173" t="str">
        <x:f>IF(A26="","",IF(OR(P26&lt;&gt;"",COUNTIFS(Lotes!$B$5:$B$204,A26,Lotes!$U$5:$U$204,1)&gt;0,Listas!$B$13&lt;&gt;"OK"),"n.a.",SUMIFS(Lotes!$J$5:$J$204,Lotes!$B$5:$B$204,A26)))</x:f>
      </x:c>
      <x:c r="J26" s="174" t="str">
        <x:f>IF(A26="","",IF(OR(P26&lt;&gt;"",COUNTIFS(Lotes!$B$5:$B$204,A26,Lotes!$U$5:$U$204,1)&gt;0,Listas!$B$13&lt;&gt;"OK"),"n.a.",SUMIFS(Lotes!$L$5:$L$204,Lotes!$B$5:$B$204,A26)))</x:f>
      </x:c>
      <x:c r="K26" s="173" t="str">
        <x:f>IF(A26="","",IF(OR(P26&lt;&gt;"",COUNTIFS(Lotes!$B$5:$B$204,A26,Lotes!$U$5:$U$204,1)&gt;0,Listas!$B$13&lt;&gt;"OK"),"n.a.",COUNTIFS(Lotes!$B$5:$B$204,A26,Lotes!$J$5:$J$204,"&gt;0")))</x:f>
      </x:c>
      <x:c r="L26" s="173" t="str">
        <x:f>IF(A26="","",IF(OR(P26&lt;&gt;"",COUNTIFS(Lotes!$B$5:$B$204,A26,Lotes!$U$5:$U$204,1)&gt;0,Listas!$B$13&lt;&gt;"OK"),"n.a.",COUNTIFS(Lotes!$B$5:$B$204,A26,Lotes!$J$5:$J$204,"&gt;0",Lotes!$N$5:$N$204,"VENCIDO")))</x:f>
      </x:c>
      <x:c r="M26" s="173" t="str">
        <x:f>IF(A26="","",IF(OR(P26&lt;&gt;"",COUNTIFS(Lotes!$B$5:$B$204,A26,Lotes!$U$5:$U$204,1)&gt;0,Listas!$B$13&lt;&gt;"OK"),"n.a.",COUNTIFS(Lotes!$B$5:$B$204,A26,Lotes!$J$5:$J$204,"&gt;0",Lotes!$N$5:$N$204,"CRÍTICO")+COUNTIFS(Lotes!$B$5:$B$204,A26,Lotes!$J$5:$J$204,"&gt;0",Lotes!$N$5:$N$204,"VENCE NA JANELA")))</x:f>
      </x:c>
      <x:c r="N26" s="173" t="str">
        <x:f>IF(A26="","",IF(OR(P26&lt;&gt;"",COUNTIFS(Lotes!$B$5:$B$204,A26,Lotes!$U$5:$U$204,1)&gt;0,Listas!$B$13&lt;&gt;"OK"),"REVISAR DADOS",IF(H26="Inativo","INATIVO",IF(Q26&lt;=F26,"REPOR","OK"))))</x:f>
      </x:c>
      <x:c r="O26" s="27"/>
      <x:c r="P26" s="163" t="str">
        <x:f>IF(COUNTA(A26:H26,O26)=0,"",IF(OR(A26="",COUNTIFS($A$5:$A$204,A26)&lt;&gt;1),"SKU ausente ou duplicado",IF(OR(B26="",D26=""),"Produto ou unidade ausente",IF(OR(NOT(ISNUMBER(F26)),F26&lt;0,NOT(ISNUMBER(G26)),G26&lt;0),"Mínimo ou custo inválido",IF(AND(H26&lt;&gt;"Ativo",H26&lt;&gt;"Inativo"),"Status de produto inválido","")))))</x:f>
      </x:c>
      <x:c r="Q26" s="163" t="str">
        <x:f>IF(A26="","",IF(OR(P26&lt;&gt;"",COUNTIFS(Lotes!$B$5:$B$204,A26,Lotes!$U$5:$U$204,1)&gt;0,Listas!$B$13&lt;&gt;"OK"),"n.a.",SUMIFS(Lotes!$V$5:$V$204,Lotes!$B$5:$B$204,A26)))</x:f>
      </x:c>
      <x:c r="R26" s="163" t="n">
        <x:f>IF(P26="",0,1)</x:f>
        <x:v>0</x:v>
      </x:c>
      <x:c r="S26" s="163" t="n">
        <x:f>IF(COUNTA(A26:H26,O26)=0,0,IF(OR(Listas!$B$19="Todos",A26=Listas!$B$19,A26=""),1,0))</x:f>
        <x:v>0</x:v>
      </x:c>
      <x:c r="T26" s="163" t="n">
        <x:f>IF(S26=1,COUNTIFS($S$5:S26,1),0)</x:f>
        <x:v>0</x:v>
      </x:c>
      <x:c r="U26" s="1"/>
      <x:c r="V26" s="1"/>
      <x:c r="W26" s="1"/>
    </x:row>
    <x:row r="27" ht="32" customHeight="1">
      <x:c r="A27" s="170"/>
      <x:c r="B27" s="170"/>
      <x:c r="C27" s="170"/>
      <x:c r="D27" s="170"/>
      <x:c r="E27" s="170"/>
      <x:c r="F27" s="171"/>
      <x:c r="G27" s="172"/>
      <x:c r="H27" s="170"/>
      <x:c r="I27" s="173" t="str">
        <x:f>IF(A27="","",IF(OR(P27&lt;&gt;"",COUNTIFS(Lotes!$B$5:$B$204,A27,Lotes!$U$5:$U$204,1)&gt;0,Listas!$B$13&lt;&gt;"OK"),"n.a.",SUMIFS(Lotes!$J$5:$J$204,Lotes!$B$5:$B$204,A27)))</x:f>
      </x:c>
      <x:c r="J27" s="174" t="str">
        <x:f>IF(A27="","",IF(OR(P27&lt;&gt;"",COUNTIFS(Lotes!$B$5:$B$204,A27,Lotes!$U$5:$U$204,1)&gt;0,Listas!$B$13&lt;&gt;"OK"),"n.a.",SUMIFS(Lotes!$L$5:$L$204,Lotes!$B$5:$B$204,A27)))</x:f>
      </x:c>
      <x:c r="K27" s="173" t="str">
        <x:f>IF(A27="","",IF(OR(P27&lt;&gt;"",COUNTIFS(Lotes!$B$5:$B$204,A27,Lotes!$U$5:$U$204,1)&gt;0,Listas!$B$13&lt;&gt;"OK"),"n.a.",COUNTIFS(Lotes!$B$5:$B$204,A27,Lotes!$J$5:$J$204,"&gt;0")))</x:f>
      </x:c>
      <x:c r="L27" s="173" t="str">
        <x:f>IF(A27="","",IF(OR(P27&lt;&gt;"",COUNTIFS(Lotes!$B$5:$B$204,A27,Lotes!$U$5:$U$204,1)&gt;0,Listas!$B$13&lt;&gt;"OK"),"n.a.",COUNTIFS(Lotes!$B$5:$B$204,A27,Lotes!$J$5:$J$204,"&gt;0",Lotes!$N$5:$N$204,"VENCIDO")))</x:f>
      </x:c>
      <x:c r="M27" s="173" t="str">
        <x:f>IF(A27="","",IF(OR(P27&lt;&gt;"",COUNTIFS(Lotes!$B$5:$B$204,A27,Lotes!$U$5:$U$204,1)&gt;0,Listas!$B$13&lt;&gt;"OK"),"n.a.",COUNTIFS(Lotes!$B$5:$B$204,A27,Lotes!$J$5:$J$204,"&gt;0",Lotes!$N$5:$N$204,"CRÍTICO")+COUNTIFS(Lotes!$B$5:$B$204,A27,Lotes!$J$5:$J$204,"&gt;0",Lotes!$N$5:$N$204,"VENCE NA JANELA")))</x:f>
      </x:c>
      <x:c r="N27" s="173" t="str">
        <x:f>IF(A27="","",IF(OR(P27&lt;&gt;"",COUNTIFS(Lotes!$B$5:$B$204,A27,Lotes!$U$5:$U$204,1)&gt;0,Listas!$B$13&lt;&gt;"OK"),"REVISAR DADOS",IF(H27="Inativo","INATIVO",IF(Q27&lt;=F27,"REPOR","OK"))))</x:f>
      </x:c>
      <x:c r="O27" s="27"/>
      <x:c r="P27" s="163" t="str">
        <x:f>IF(COUNTA(A27:H27,O27)=0,"",IF(OR(A27="",COUNTIFS($A$5:$A$204,A27)&lt;&gt;1),"SKU ausente ou duplicado",IF(OR(B27="",D27=""),"Produto ou unidade ausente",IF(OR(NOT(ISNUMBER(F27)),F27&lt;0,NOT(ISNUMBER(G27)),G27&lt;0),"Mínimo ou custo inválido",IF(AND(H27&lt;&gt;"Ativo",H27&lt;&gt;"Inativo"),"Status de produto inválido","")))))</x:f>
      </x:c>
      <x:c r="Q27" s="163" t="str">
        <x:f>IF(A27="","",IF(OR(P27&lt;&gt;"",COUNTIFS(Lotes!$B$5:$B$204,A27,Lotes!$U$5:$U$204,1)&gt;0,Listas!$B$13&lt;&gt;"OK"),"n.a.",SUMIFS(Lotes!$V$5:$V$204,Lotes!$B$5:$B$204,A27)))</x:f>
      </x:c>
      <x:c r="R27" s="163" t="n">
        <x:f>IF(P27="",0,1)</x:f>
        <x:v>0</x:v>
      </x:c>
      <x:c r="S27" s="163" t="n">
        <x:f>IF(COUNTA(A27:H27,O27)=0,0,IF(OR(Listas!$B$19="Todos",A27=Listas!$B$19,A27=""),1,0))</x:f>
        <x:v>0</x:v>
      </x:c>
      <x:c r="T27" s="163" t="n">
        <x:f>IF(S27=1,COUNTIFS($S$5:S27,1),0)</x:f>
        <x:v>0</x:v>
      </x:c>
      <x:c r="U27" s="1"/>
      <x:c r="V27" s="1"/>
      <x:c r="W27" s="1"/>
    </x:row>
    <x:row r="28" ht="32" customHeight="1">
      <x:c r="A28" s="170"/>
      <x:c r="B28" s="170"/>
      <x:c r="C28" s="170"/>
      <x:c r="D28" s="170"/>
      <x:c r="E28" s="170"/>
      <x:c r="F28" s="171"/>
      <x:c r="G28" s="172"/>
      <x:c r="H28" s="170"/>
      <x:c r="I28" s="173" t="str">
        <x:f>IF(A28="","",IF(OR(P28&lt;&gt;"",COUNTIFS(Lotes!$B$5:$B$204,A28,Lotes!$U$5:$U$204,1)&gt;0,Listas!$B$13&lt;&gt;"OK"),"n.a.",SUMIFS(Lotes!$J$5:$J$204,Lotes!$B$5:$B$204,A28)))</x:f>
      </x:c>
      <x:c r="J28" s="174" t="str">
        <x:f>IF(A28="","",IF(OR(P28&lt;&gt;"",COUNTIFS(Lotes!$B$5:$B$204,A28,Lotes!$U$5:$U$204,1)&gt;0,Listas!$B$13&lt;&gt;"OK"),"n.a.",SUMIFS(Lotes!$L$5:$L$204,Lotes!$B$5:$B$204,A28)))</x:f>
      </x:c>
      <x:c r="K28" s="173" t="str">
        <x:f>IF(A28="","",IF(OR(P28&lt;&gt;"",COUNTIFS(Lotes!$B$5:$B$204,A28,Lotes!$U$5:$U$204,1)&gt;0,Listas!$B$13&lt;&gt;"OK"),"n.a.",COUNTIFS(Lotes!$B$5:$B$204,A28,Lotes!$J$5:$J$204,"&gt;0")))</x:f>
      </x:c>
      <x:c r="L28" s="173" t="str">
        <x:f>IF(A28="","",IF(OR(P28&lt;&gt;"",COUNTIFS(Lotes!$B$5:$B$204,A28,Lotes!$U$5:$U$204,1)&gt;0,Listas!$B$13&lt;&gt;"OK"),"n.a.",COUNTIFS(Lotes!$B$5:$B$204,A28,Lotes!$J$5:$J$204,"&gt;0",Lotes!$N$5:$N$204,"VENCIDO")))</x:f>
      </x:c>
      <x:c r="M28" s="173" t="str">
        <x:f>IF(A28="","",IF(OR(P28&lt;&gt;"",COUNTIFS(Lotes!$B$5:$B$204,A28,Lotes!$U$5:$U$204,1)&gt;0,Listas!$B$13&lt;&gt;"OK"),"n.a.",COUNTIFS(Lotes!$B$5:$B$204,A28,Lotes!$J$5:$J$204,"&gt;0",Lotes!$N$5:$N$204,"CRÍTICO")+COUNTIFS(Lotes!$B$5:$B$204,A28,Lotes!$J$5:$J$204,"&gt;0",Lotes!$N$5:$N$204,"VENCE NA JANELA")))</x:f>
      </x:c>
      <x:c r="N28" s="173" t="str">
        <x:f>IF(A28="","",IF(OR(P28&lt;&gt;"",COUNTIFS(Lotes!$B$5:$B$204,A28,Lotes!$U$5:$U$204,1)&gt;0,Listas!$B$13&lt;&gt;"OK"),"REVISAR DADOS",IF(H28="Inativo","INATIVO",IF(Q28&lt;=F28,"REPOR","OK"))))</x:f>
      </x:c>
      <x:c r="O28" s="27"/>
      <x:c r="P28" s="163" t="str">
        <x:f>IF(COUNTA(A28:H28,O28)=0,"",IF(OR(A28="",COUNTIFS($A$5:$A$204,A28)&lt;&gt;1),"SKU ausente ou duplicado",IF(OR(B28="",D28=""),"Produto ou unidade ausente",IF(OR(NOT(ISNUMBER(F28)),F28&lt;0,NOT(ISNUMBER(G28)),G28&lt;0),"Mínimo ou custo inválido",IF(AND(H28&lt;&gt;"Ativo",H28&lt;&gt;"Inativo"),"Status de produto inválido","")))))</x:f>
      </x:c>
      <x:c r="Q28" s="163" t="str">
        <x:f>IF(A28="","",IF(OR(P28&lt;&gt;"",COUNTIFS(Lotes!$B$5:$B$204,A28,Lotes!$U$5:$U$204,1)&gt;0,Listas!$B$13&lt;&gt;"OK"),"n.a.",SUMIFS(Lotes!$V$5:$V$204,Lotes!$B$5:$B$204,A28)))</x:f>
      </x:c>
      <x:c r="R28" s="163" t="n">
        <x:f>IF(P28="",0,1)</x:f>
        <x:v>0</x:v>
      </x:c>
      <x:c r="S28" s="163" t="n">
        <x:f>IF(COUNTA(A28:H28,O28)=0,0,IF(OR(Listas!$B$19="Todos",A28=Listas!$B$19,A28=""),1,0))</x:f>
        <x:v>0</x:v>
      </x:c>
      <x:c r="T28" s="163" t="n">
        <x:f>IF(S28=1,COUNTIFS($S$5:S28,1),0)</x:f>
        <x:v>0</x:v>
      </x:c>
      <x:c r="U28" s="1"/>
      <x:c r="V28" s="1"/>
      <x:c r="W28" s="1"/>
    </x:row>
    <x:row r="29" ht="32" customHeight="1">
      <x:c r="A29" s="170"/>
      <x:c r="B29" s="170"/>
      <x:c r="C29" s="170"/>
      <x:c r="D29" s="170"/>
      <x:c r="E29" s="170"/>
      <x:c r="F29" s="171"/>
      <x:c r="G29" s="172"/>
      <x:c r="H29" s="170"/>
      <x:c r="I29" s="173" t="str">
        <x:f>IF(A29="","",IF(OR(P29&lt;&gt;"",COUNTIFS(Lotes!$B$5:$B$204,A29,Lotes!$U$5:$U$204,1)&gt;0,Listas!$B$13&lt;&gt;"OK"),"n.a.",SUMIFS(Lotes!$J$5:$J$204,Lotes!$B$5:$B$204,A29)))</x:f>
      </x:c>
      <x:c r="J29" s="174" t="str">
        <x:f>IF(A29="","",IF(OR(P29&lt;&gt;"",COUNTIFS(Lotes!$B$5:$B$204,A29,Lotes!$U$5:$U$204,1)&gt;0,Listas!$B$13&lt;&gt;"OK"),"n.a.",SUMIFS(Lotes!$L$5:$L$204,Lotes!$B$5:$B$204,A29)))</x:f>
      </x:c>
      <x:c r="K29" s="173" t="str">
        <x:f>IF(A29="","",IF(OR(P29&lt;&gt;"",COUNTIFS(Lotes!$B$5:$B$204,A29,Lotes!$U$5:$U$204,1)&gt;0,Listas!$B$13&lt;&gt;"OK"),"n.a.",COUNTIFS(Lotes!$B$5:$B$204,A29,Lotes!$J$5:$J$204,"&gt;0")))</x:f>
      </x:c>
      <x:c r="L29" s="173" t="str">
        <x:f>IF(A29="","",IF(OR(P29&lt;&gt;"",COUNTIFS(Lotes!$B$5:$B$204,A29,Lotes!$U$5:$U$204,1)&gt;0,Listas!$B$13&lt;&gt;"OK"),"n.a.",COUNTIFS(Lotes!$B$5:$B$204,A29,Lotes!$J$5:$J$204,"&gt;0",Lotes!$N$5:$N$204,"VENCIDO")))</x:f>
      </x:c>
      <x:c r="M29" s="173" t="str">
        <x:f>IF(A29="","",IF(OR(P29&lt;&gt;"",COUNTIFS(Lotes!$B$5:$B$204,A29,Lotes!$U$5:$U$204,1)&gt;0,Listas!$B$13&lt;&gt;"OK"),"n.a.",COUNTIFS(Lotes!$B$5:$B$204,A29,Lotes!$J$5:$J$204,"&gt;0",Lotes!$N$5:$N$204,"CRÍTICO")+COUNTIFS(Lotes!$B$5:$B$204,A29,Lotes!$J$5:$J$204,"&gt;0",Lotes!$N$5:$N$204,"VENCE NA JANELA")))</x:f>
      </x:c>
      <x:c r="N29" s="173" t="str">
        <x:f>IF(A29="","",IF(OR(P29&lt;&gt;"",COUNTIFS(Lotes!$B$5:$B$204,A29,Lotes!$U$5:$U$204,1)&gt;0,Listas!$B$13&lt;&gt;"OK"),"REVISAR DADOS",IF(H29="Inativo","INATIVO",IF(Q29&lt;=F29,"REPOR","OK"))))</x:f>
      </x:c>
      <x:c r="O29" s="27"/>
      <x:c r="P29" s="163" t="str">
        <x:f>IF(COUNTA(A29:H29,O29)=0,"",IF(OR(A29="",COUNTIFS($A$5:$A$204,A29)&lt;&gt;1),"SKU ausente ou duplicado",IF(OR(B29="",D29=""),"Produto ou unidade ausente",IF(OR(NOT(ISNUMBER(F29)),F29&lt;0,NOT(ISNUMBER(G29)),G29&lt;0),"Mínimo ou custo inválido",IF(AND(H29&lt;&gt;"Ativo",H29&lt;&gt;"Inativo"),"Status de produto inválido","")))))</x:f>
      </x:c>
      <x:c r="Q29" s="163" t="str">
        <x:f>IF(A29="","",IF(OR(P29&lt;&gt;"",COUNTIFS(Lotes!$B$5:$B$204,A29,Lotes!$U$5:$U$204,1)&gt;0,Listas!$B$13&lt;&gt;"OK"),"n.a.",SUMIFS(Lotes!$V$5:$V$204,Lotes!$B$5:$B$204,A29)))</x:f>
      </x:c>
      <x:c r="R29" s="163" t="n">
        <x:f>IF(P29="",0,1)</x:f>
        <x:v>0</x:v>
      </x:c>
      <x:c r="S29" s="163" t="n">
        <x:f>IF(COUNTA(A29:H29,O29)=0,0,IF(OR(Listas!$B$19="Todos",A29=Listas!$B$19,A29=""),1,0))</x:f>
        <x:v>0</x:v>
      </x:c>
      <x:c r="T29" s="163" t="n">
        <x:f>IF(S29=1,COUNTIFS($S$5:S29,1),0)</x:f>
        <x:v>0</x:v>
      </x:c>
      <x:c r="U29" s="1"/>
      <x:c r="V29" s="1"/>
      <x:c r="W29" s="1"/>
    </x:row>
    <x:row r="30" ht="32" customHeight="1">
      <x:c r="A30" s="170"/>
      <x:c r="B30" s="170"/>
      <x:c r="C30" s="170"/>
      <x:c r="D30" s="170"/>
      <x:c r="E30" s="170"/>
      <x:c r="F30" s="171"/>
      <x:c r="G30" s="172"/>
      <x:c r="H30" s="170"/>
      <x:c r="I30" s="173" t="str">
        <x:f>IF(A30="","",IF(OR(P30&lt;&gt;"",COUNTIFS(Lotes!$B$5:$B$204,A30,Lotes!$U$5:$U$204,1)&gt;0,Listas!$B$13&lt;&gt;"OK"),"n.a.",SUMIFS(Lotes!$J$5:$J$204,Lotes!$B$5:$B$204,A30)))</x:f>
      </x:c>
      <x:c r="J30" s="174" t="str">
        <x:f>IF(A30="","",IF(OR(P30&lt;&gt;"",COUNTIFS(Lotes!$B$5:$B$204,A30,Lotes!$U$5:$U$204,1)&gt;0,Listas!$B$13&lt;&gt;"OK"),"n.a.",SUMIFS(Lotes!$L$5:$L$204,Lotes!$B$5:$B$204,A30)))</x:f>
      </x:c>
      <x:c r="K30" s="173" t="str">
        <x:f>IF(A30="","",IF(OR(P30&lt;&gt;"",COUNTIFS(Lotes!$B$5:$B$204,A30,Lotes!$U$5:$U$204,1)&gt;0,Listas!$B$13&lt;&gt;"OK"),"n.a.",COUNTIFS(Lotes!$B$5:$B$204,A30,Lotes!$J$5:$J$204,"&gt;0")))</x:f>
      </x:c>
      <x:c r="L30" s="173" t="str">
        <x:f>IF(A30="","",IF(OR(P30&lt;&gt;"",COUNTIFS(Lotes!$B$5:$B$204,A30,Lotes!$U$5:$U$204,1)&gt;0,Listas!$B$13&lt;&gt;"OK"),"n.a.",COUNTIFS(Lotes!$B$5:$B$204,A30,Lotes!$J$5:$J$204,"&gt;0",Lotes!$N$5:$N$204,"VENCIDO")))</x:f>
      </x:c>
      <x:c r="M30" s="173" t="str">
        <x:f>IF(A30="","",IF(OR(P30&lt;&gt;"",COUNTIFS(Lotes!$B$5:$B$204,A30,Lotes!$U$5:$U$204,1)&gt;0,Listas!$B$13&lt;&gt;"OK"),"n.a.",COUNTIFS(Lotes!$B$5:$B$204,A30,Lotes!$J$5:$J$204,"&gt;0",Lotes!$N$5:$N$204,"CRÍTICO")+COUNTIFS(Lotes!$B$5:$B$204,A30,Lotes!$J$5:$J$204,"&gt;0",Lotes!$N$5:$N$204,"VENCE NA JANELA")))</x:f>
      </x:c>
      <x:c r="N30" s="173" t="str">
        <x:f>IF(A30="","",IF(OR(P30&lt;&gt;"",COUNTIFS(Lotes!$B$5:$B$204,A30,Lotes!$U$5:$U$204,1)&gt;0,Listas!$B$13&lt;&gt;"OK"),"REVISAR DADOS",IF(H30="Inativo","INATIVO",IF(Q30&lt;=F30,"REPOR","OK"))))</x:f>
      </x:c>
      <x:c r="O30" s="27"/>
      <x:c r="P30" s="163" t="str">
        <x:f>IF(COUNTA(A30:H30,O30)=0,"",IF(OR(A30="",COUNTIFS($A$5:$A$204,A30)&lt;&gt;1),"SKU ausente ou duplicado",IF(OR(B30="",D30=""),"Produto ou unidade ausente",IF(OR(NOT(ISNUMBER(F30)),F30&lt;0,NOT(ISNUMBER(G30)),G30&lt;0),"Mínimo ou custo inválido",IF(AND(H30&lt;&gt;"Ativo",H30&lt;&gt;"Inativo"),"Status de produto inválido","")))))</x:f>
      </x:c>
      <x:c r="Q30" s="163" t="str">
        <x:f>IF(A30="","",IF(OR(P30&lt;&gt;"",COUNTIFS(Lotes!$B$5:$B$204,A30,Lotes!$U$5:$U$204,1)&gt;0,Listas!$B$13&lt;&gt;"OK"),"n.a.",SUMIFS(Lotes!$V$5:$V$204,Lotes!$B$5:$B$204,A30)))</x:f>
      </x:c>
      <x:c r="R30" s="163" t="n">
        <x:f>IF(P30="",0,1)</x:f>
        <x:v>0</x:v>
      </x:c>
      <x:c r="S30" s="163" t="n">
        <x:f>IF(COUNTA(A30:H30,O30)=0,0,IF(OR(Listas!$B$19="Todos",A30=Listas!$B$19,A30=""),1,0))</x:f>
        <x:v>0</x:v>
      </x:c>
      <x:c r="T30" s="163" t="n">
        <x:f>IF(S30=1,COUNTIFS($S$5:S30,1),0)</x:f>
        <x:v>0</x:v>
      </x:c>
      <x:c r="U30" s="1"/>
      <x:c r="V30" s="1"/>
      <x:c r="W30" s="1"/>
    </x:row>
    <x:row r="31" ht="32" customHeight="1">
      <x:c r="A31" s="170"/>
      <x:c r="B31" s="170"/>
      <x:c r="C31" s="170"/>
      <x:c r="D31" s="170"/>
      <x:c r="E31" s="170"/>
      <x:c r="F31" s="171"/>
      <x:c r="G31" s="172"/>
      <x:c r="H31" s="170"/>
      <x:c r="I31" s="173" t="str">
        <x:f>IF(A31="","",IF(OR(P31&lt;&gt;"",COUNTIFS(Lotes!$B$5:$B$204,A31,Lotes!$U$5:$U$204,1)&gt;0,Listas!$B$13&lt;&gt;"OK"),"n.a.",SUMIFS(Lotes!$J$5:$J$204,Lotes!$B$5:$B$204,A31)))</x:f>
      </x:c>
      <x:c r="J31" s="174" t="str">
        <x:f>IF(A31="","",IF(OR(P31&lt;&gt;"",COUNTIFS(Lotes!$B$5:$B$204,A31,Lotes!$U$5:$U$204,1)&gt;0,Listas!$B$13&lt;&gt;"OK"),"n.a.",SUMIFS(Lotes!$L$5:$L$204,Lotes!$B$5:$B$204,A31)))</x:f>
      </x:c>
      <x:c r="K31" s="173" t="str">
        <x:f>IF(A31="","",IF(OR(P31&lt;&gt;"",COUNTIFS(Lotes!$B$5:$B$204,A31,Lotes!$U$5:$U$204,1)&gt;0,Listas!$B$13&lt;&gt;"OK"),"n.a.",COUNTIFS(Lotes!$B$5:$B$204,A31,Lotes!$J$5:$J$204,"&gt;0")))</x:f>
      </x:c>
      <x:c r="L31" s="173" t="str">
        <x:f>IF(A31="","",IF(OR(P31&lt;&gt;"",COUNTIFS(Lotes!$B$5:$B$204,A31,Lotes!$U$5:$U$204,1)&gt;0,Listas!$B$13&lt;&gt;"OK"),"n.a.",COUNTIFS(Lotes!$B$5:$B$204,A31,Lotes!$J$5:$J$204,"&gt;0",Lotes!$N$5:$N$204,"VENCIDO")))</x:f>
      </x:c>
      <x:c r="M31" s="173" t="str">
        <x:f>IF(A31="","",IF(OR(P31&lt;&gt;"",COUNTIFS(Lotes!$B$5:$B$204,A31,Lotes!$U$5:$U$204,1)&gt;0,Listas!$B$13&lt;&gt;"OK"),"n.a.",COUNTIFS(Lotes!$B$5:$B$204,A31,Lotes!$J$5:$J$204,"&gt;0",Lotes!$N$5:$N$204,"CRÍTICO")+COUNTIFS(Lotes!$B$5:$B$204,A31,Lotes!$J$5:$J$204,"&gt;0",Lotes!$N$5:$N$204,"VENCE NA JANELA")))</x:f>
      </x:c>
      <x:c r="N31" s="173" t="str">
        <x:f>IF(A31="","",IF(OR(P31&lt;&gt;"",COUNTIFS(Lotes!$B$5:$B$204,A31,Lotes!$U$5:$U$204,1)&gt;0,Listas!$B$13&lt;&gt;"OK"),"REVISAR DADOS",IF(H31="Inativo","INATIVO",IF(Q31&lt;=F31,"REPOR","OK"))))</x:f>
      </x:c>
      <x:c r="O31" s="27"/>
      <x:c r="P31" s="163" t="str">
        <x:f>IF(COUNTA(A31:H31,O31)=0,"",IF(OR(A31="",COUNTIFS($A$5:$A$204,A31)&lt;&gt;1),"SKU ausente ou duplicado",IF(OR(B31="",D31=""),"Produto ou unidade ausente",IF(OR(NOT(ISNUMBER(F31)),F31&lt;0,NOT(ISNUMBER(G31)),G31&lt;0),"Mínimo ou custo inválido",IF(AND(H31&lt;&gt;"Ativo",H31&lt;&gt;"Inativo"),"Status de produto inválido","")))))</x:f>
      </x:c>
      <x:c r="Q31" s="163" t="str">
        <x:f>IF(A31="","",IF(OR(P31&lt;&gt;"",COUNTIFS(Lotes!$B$5:$B$204,A31,Lotes!$U$5:$U$204,1)&gt;0,Listas!$B$13&lt;&gt;"OK"),"n.a.",SUMIFS(Lotes!$V$5:$V$204,Lotes!$B$5:$B$204,A31)))</x:f>
      </x:c>
      <x:c r="R31" s="163" t="n">
        <x:f>IF(P31="",0,1)</x:f>
        <x:v>0</x:v>
      </x:c>
      <x:c r="S31" s="163" t="n">
        <x:f>IF(COUNTA(A31:H31,O31)=0,0,IF(OR(Listas!$B$19="Todos",A31=Listas!$B$19,A31=""),1,0))</x:f>
        <x:v>0</x:v>
      </x:c>
      <x:c r="T31" s="163" t="n">
        <x:f>IF(S31=1,COUNTIFS($S$5:S31,1),0)</x:f>
        <x:v>0</x:v>
      </x:c>
      <x:c r="U31" s="1"/>
      <x:c r="V31" s="1"/>
      <x:c r="W31" s="1"/>
    </x:row>
    <x:row r="32" ht="32" customHeight="1">
      <x:c r="A32" s="170"/>
      <x:c r="B32" s="170"/>
      <x:c r="C32" s="170"/>
      <x:c r="D32" s="170"/>
      <x:c r="E32" s="170"/>
      <x:c r="F32" s="171"/>
      <x:c r="G32" s="172"/>
      <x:c r="H32" s="170"/>
      <x:c r="I32" s="173" t="str">
        <x:f>IF(A32="","",IF(OR(P32&lt;&gt;"",COUNTIFS(Lotes!$B$5:$B$204,A32,Lotes!$U$5:$U$204,1)&gt;0,Listas!$B$13&lt;&gt;"OK"),"n.a.",SUMIFS(Lotes!$J$5:$J$204,Lotes!$B$5:$B$204,A32)))</x:f>
      </x:c>
      <x:c r="J32" s="174" t="str">
        <x:f>IF(A32="","",IF(OR(P32&lt;&gt;"",COUNTIFS(Lotes!$B$5:$B$204,A32,Lotes!$U$5:$U$204,1)&gt;0,Listas!$B$13&lt;&gt;"OK"),"n.a.",SUMIFS(Lotes!$L$5:$L$204,Lotes!$B$5:$B$204,A32)))</x:f>
      </x:c>
      <x:c r="K32" s="173" t="str">
        <x:f>IF(A32="","",IF(OR(P32&lt;&gt;"",COUNTIFS(Lotes!$B$5:$B$204,A32,Lotes!$U$5:$U$204,1)&gt;0,Listas!$B$13&lt;&gt;"OK"),"n.a.",COUNTIFS(Lotes!$B$5:$B$204,A32,Lotes!$J$5:$J$204,"&gt;0")))</x:f>
      </x:c>
      <x:c r="L32" s="173" t="str">
        <x:f>IF(A32="","",IF(OR(P32&lt;&gt;"",COUNTIFS(Lotes!$B$5:$B$204,A32,Lotes!$U$5:$U$204,1)&gt;0,Listas!$B$13&lt;&gt;"OK"),"n.a.",COUNTIFS(Lotes!$B$5:$B$204,A32,Lotes!$J$5:$J$204,"&gt;0",Lotes!$N$5:$N$204,"VENCIDO")))</x:f>
      </x:c>
      <x:c r="M32" s="173" t="str">
        <x:f>IF(A32="","",IF(OR(P32&lt;&gt;"",COUNTIFS(Lotes!$B$5:$B$204,A32,Lotes!$U$5:$U$204,1)&gt;0,Listas!$B$13&lt;&gt;"OK"),"n.a.",COUNTIFS(Lotes!$B$5:$B$204,A32,Lotes!$J$5:$J$204,"&gt;0",Lotes!$N$5:$N$204,"CRÍTICO")+COUNTIFS(Lotes!$B$5:$B$204,A32,Lotes!$J$5:$J$204,"&gt;0",Lotes!$N$5:$N$204,"VENCE NA JANELA")))</x:f>
      </x:c>
      <x:c r="N32" s="173" t="str">
        <x:f>IF(A32="","",IF(OR(P32&lt;&gt;"",COUNTIFS(Lotes!$B$5:$B$204,A32,Lotes!$U$5:$U$204,1)&gt;0,Listas!$B$13&lt;&gt;"OK"),"REVISAR DADOS",IF(H32="Inativo","INATIVO",IF(Q32&lt;=F32,"REPOR","OK"))))</x:f>
      </x:c>
      <x:c r="O32" s="27"/>
      <x:c r="P32" s="163" t="str">
        <x:f>IF(COUNTA(A32:H32,O32)=0,"",IF(OR(A32="",COUNTIFS($A$5:$A$204,A32)&lt;&gt;1),"SKU ausente ou duplicado",IF(OR(B32="",D32=""),"Produto ou unidade ausente",IF(OR(NOT(ISNUMBER(F32)),F32&lt;0,NOT(ISNUMBER(G32)),G32&lt;0),"Mínimo ou custo inválido",IF(AND(H32&lt;&gt;"Ativo",H32&lt;&gt;"Inativo"),"Status de produto inválido","")))))</x:f>
      </x:c>
      <x:c r="Q32" s="163" t="str">
        <x:f>IF(A32="","",IF(OR(P32&lt;&gt;"",COUNTIFS(Lotes!$B$5:$B$204,A32,Lotes!$U$5:$U$204,1)&gt;0,Listas!$B$13&lt;&gt;"OK"),"n.a.",SUMIFS(Lotes!$V$5:$V$204,Lotes!$B$5:$B$204,A32)))</x:f>
      </x:c>
      <x:c r="R32" s="163" t="n">
        <x:f>IF(P32="",0,1)</x:f>
        <x:v>0</x:v>
      </x:c>
      <x:c r="S32" s="163" t="n">
        <x:f>IF(COUNTA(A32:H32,O32)=0,0,IF(OR(Listas!$B$19="Todos",A32=Listas!$B$19,A32=""),1,0))</x:f>
        <x:v>0</x:v>
      </x:c>
      <x:c r="T32" s="163" t="n">
        <x:f>IF(S32=1,COUNTIFS($S$5:S32,1),0)</x:f>
        <x:v>0</x:v>
      </x:c>
      <x:c r="U32" s="1"/>
      <x:c r="V32" s="1"/>
      <x:c r="W32" s="1"/>
    </x:row>
    <x:row r="33" ht="32" customHeight="1">
      <x:c r="A33" s="170"/>
      <x:c r="B33" s="170"/>
      <x:c r="C33" s="170"/>
      <x:c r="D33" s="170"/>
      <x:c r="E33" s="170"/>
      <x:c r="F33" s="171"/>
      <x:c r="G33" s="172"/>
      <x:c r="H33" s="170"/>
      <x:c r="I33" s="173" t="str">
        <x:f>IF(A33="","",IF(OR(P33&lt;&gt;"",COUNTIFS(Lotes!$B$5:$B$204,A33,Lotes!$U$5:$U$204,1)&gt;0,Listas!$B$13&lt;&gt;"OK"),"n.a.",SUMIFS(Lotes!$J$5:$J$204,Lotes!$B$5:$B$204,A33)))</x:f>
      </x:c>
      <x:c r="J33" s="174" t="str">
        <x:f>IF(A33="","",IF(OR(P33&lt;&gt;"",COUNTIFS(Lotes!$B$5:$B$204,A33,Lotes!$U$5:$U$204,1)&gt;0,Listas!$B$13&lt;&gt;"OK"),"n.a.",SUMIFS(Lotes!$L$5:$L$204,Lotes!$B$5:$B$204,A33)))</x:f>
      </x:c>
      <x:c r="K33" s="173" t="str">
        <x:f>IF(A33="","",IF(OR(P33&lt;&gt;"",COUNTIFS(Lotes!$B$5:$B$204,A33,Lotes!$U$5:$U$204,1)&gt;0,Listas!$B$13&lt;&gt;"OK"),"n.a.",COUNTIFS(Lotes!$B$5:$B$204,A33,Lotes!$J$5:$J$204,"&gt;0")))</x:f>
      </x:c>
      <x:c r="L33" s="173" t="str">
        <x:f>IF(A33="","",IF(OR(P33&lt;&gt;"",COUNTIFS(Lotes!$B$5:$B$204,A33,Lotes!$U$5:$U$204,1)&gt;0,Listas!$B$13&lt;&gt;"OK"),"n.a.",COUNTIFS(Lotes!$B$5:$B$204,A33,Lotes!$J$5:$J$204,"&gt;0",Lotes!$N$5:$N$204,"VENCIDO")))</x:f>
      </x:c>
      <x:c r="M33" s="173" t="str">
        <x:f>IF(A33="","",IF(OR(P33&lt;&gt;"",COUNTIFS(Lotes!$B$5:$B$204,A33,Lotes!$U$5:$U$204,1)&gt;0,Listas!$B$13&lt;&gt;"OK"),"n.a.",COUNTIFS(Lotes!$B$5:$B$204,A33,Lotes!$J$5:$J$204,"&gt;0",Lotes!$N$5:$N$204,"CRÍTICO")+COUNTIFS(Lotes!$B$5:$B$204,A33,Lotes!$J$5:$J$204,"&gt;0",Lotes!$N$5:$N$204,"VENCE NA JANELA")))</x:f>
      </x:c>
      <x:c r="N33" s="173" t="str">
        <x:f>IF(A33="","",IF(OR(P33&lt;&gt;"",COUNTIFS(Lotes!$B$5:$B$204,A33,Lotes!$U$5:$U$204,1)&gt;0,Listas!$B$13&lt;&gt;"OK"),"REVISAR DADOS",IF(H33="Inativo","INATIVO",IF(Q33&lt;=F33,"REPOR","OK"))))</x:f>
      </x:c>
      <x:c r="O33" s="27"/>
      <x:c r="P33" s="163" t="str">
        <x:f>IF(COUNTA(A33:H33,O33)=0,"",IF(OR(A33="",COUNTIFS($A$5:$A$204,A33)&lt;&gt;1),"SKU ausente ou duplicado",IF(OR(B33="",D33=""),"Produto ou unidade ausente",IF(OR(NOT(ISNUMBER(F33)),F33&lt;0,NOT(ISNUMBER(G33)),G33&lt;0),"Mínimo ou custo inválido",IF(AND(H33&lt;&gt;"Ativo",H33&lt;&gt;"Inativo"),"Status de produto inválido","")))))</x:f>
      </x:c>
      <x:c r="Q33" s="163" t="str">
        <x:f>IF(A33="","",IF(OR(P33&lt;&gt;"",COUNTIFS(Lotes!$B$5:$B$204,A33,Lotes!$U$5:$U$204,1)&gt;0,Listas!$B$13&lt;&gt;"OK"),"n.a.",SUMIFS(Lotes!$V$5:$V$204,Lotes!$B$5:$B$204,A33)))</x:f>
      </x:c>
      <x:c r="R33" s="163" t="n">
        <x:f>IF(P33="",0,1)</x:f>
        <x:v>0</x:v>
      </x:c>
      <x:c r="S33" s="163" t="n">
        <x:f>IF(COUNTA(A33:H33,O33)=0,0,IF(OR(Listas!$B$19="Todos",A33=Listas!$B$19,A33=""),1,0))</x:f>
        <x:v>0</x:v>
      </x:c>
      <x:c r="T33" s="163" t="n">
        <x:f>IF(S33=1,COUNTIFS($S$5:S33,1),0)</x:f>
        <x:v>0</x:v>
      </x:c>
      <x:c r="U33" s="1"/>
      <x:c r="V33" s="1"/>
      <x:c r="W33" s="1"/>
    </x:row>
    <x:row r="34" ht="32" customHeight="1">
      <x:c r="A34" s="170"/>
      <x:c r="B34" s="170"/>
      <x:c r="C34" s="170"/>
      <x:c r="D34" s="170"/>
      <x:c r="E34" s="170"/>
      <x:c r="F34" s="171"/>
      <x:c r="G34" s="172"/>
      <x:c r="H34" s="170"/>
      <x:c r="I34" s="173" t="str">
        <x:f>IF(A34="","",IF(OR(P34&lt;&gt;"",COUNTIFS(Lotes!$B$5:$B$204,A34,Lotes!$U$5:$U$204,1)&gt;0,Listas!$B$13&lt;&gt;"OK"),"n.a.",SUMIFS(Lotes!$J$5:$J$204,Lotes!$B$5:$B$204,A34)))</x:f>
      </x:c>
      <x:c r="J34" s="174" t="str">
        <x:f>IF(A34="","",IF(OR(P34&lt;&gt;"",COUNTIFS(Lotes!$B$5:$B$204,A34,Lotes!$U$5:$U$204,1)&gt;0,Listas!$B$13&lt;&gt;"OK"),"n.a.",SUMIFS(Lotes!$L$5:$L$204,Lotes!$B$5:$B$204,A34)))</x:f>
      </x:c>
      <x:c r="K34" s="173" t="str">
        <x:f>IF(A34="","",IF(OR(P34&lt;&gt;"",COUNTIFS(Lotes!$B$5:$B$204,A34,Lotes!$U$5:$U$204,1)&gt;0,Listas!$B$13&lt;&gt;"OK"),"n.a.",COUNTIFS(Lotes!$B$5:$B$204,A34,Lotes!$J$5:$J$204,"&gt;0")))</x:f>
      </x:c>
      <x:c r="L34" s="173" t="str">
        <x:f>IF(A34="","",IF(OR(P34&lt;&gt;"",COUNTIFS(Lotes!$B$5:$B$204,A34,Lotes!$U$5:$U$204,1)&gt;0,Listas!$B$13&lt;&gt;"OK"),"n.a.",COUNTIFS(Lotes!$B$5:$B$204,A34,Lotes!$J$5:$J$204,"&gt;0",Lotes!$N$5:$N$204,"VENCIDO")))</x:f>
      </x:c>
      <x:c r="M34" s="173" t="str">
        <x:f>IF(A34="","",IF(OR(P34&lt;&gt;"",COUNTIFS(Lotes!$B$5:$B$204,A34,Lotes!$U$5:$U$204,1)&gt;0,Listas!$B$13&lt;&gt;"OK"),"n.a.",COUNTIFS(Lotes!$B$5:$B$204,A34,Lotes!$J$5:$J$204,"&gt;0",Lotes!$N$5:$N$204,"CRÍTICO")+COUNTIFS(Lotes!$B$5:$B$204,A34,Lotes!$J$5:$J$204,"&gt;0",Lotes!$N$5:$N$204,"VENCE NA JANELA")))</x:f>
      </x:c>
      <x:c r="N34" s="173" t="str">
        <x:f>IF(A34="","",IF(OR(P34&lt;&gt;"",COUNTIFS(Lotes!$B$5:$B$204,A34,Lotes!$U$5:$U$204,1)&gt;0,Listas!$B$13&lt;&gt;"OK"),"REVISAR DADOS",IF(H34="Inativo","INATIVO",IF(Q34&lt;=F34,"REPOR","OK"))))</x:f>
      </x:c>
      <x:c r="O34" s="27"/>
      <x:c r="P34" s="163" t="str">
        <x:f>IF(COUNTA(A34:H34,O34)=0,"",IF(OR(A34="",COUNTIFS($A$5:$A$204,A34)&lt;&gt;1),"SKU ausente ou duplicado",IF(OR(B34="",D34=""),"Produto ou unidade ausente",IF(OR(NOT(ISNUMBER(F34)),F34&lt;0,NOT(ISNUMBER(G34)),G34&lt;0),"Mínimo ou custo inválido",IF(AND(H34&lt;&gt;"Ativo",H34&lt;&gt;"Inativo"),"Status de produto inválido","")))))</x:f>
      </x:c>
      <x:c r="Q34" s="163" t="str">
        <x:f>IF(A34="","",IF(OR(P34&lt;&gt;"",COUNTIFS(Lotes!$B$5:$B$204,A34,Lotes!$U$5:$U$204,1)&gt;0,Listas!$B$13&lt;&gt;"OK"),"n.a.",SUMIFS(Lotes!$V$5:$V$204,Lotes!$B$5:$B$204,A34)))</x:f>
      </x:c>
      <x:c r="R34" s="163" t="n">
        <x:f>IF(P34="",0,1)</x:f>
        <x:v>0</x:v>
      </x:c>
      <x:c r="S34" s="163" t="n">
        <x:f>IF(COUNTA(A34:H34,O34)=0,0,IF(OR(Listas!$B$19="Todos",A34=Listas!$B$19,A34=""),1,0))</x:f>
        <x:v>0</x:v>
      </x:c>
      <x:c r="T34" s="163" t="n">
        <x:f>IF(S34=1,COUNTIFS($S$5:S34,1),0)</x:f>
        <x:v>0</x:v>
      </x:c>
      <x:c r="U34" s="1"/>
      <x:c r="V34" s="1"/>
      <x:c r="W34" s="1"/>
    </x:row>
    <x:row r="35" ht="32" customHeight="1">
      <x:c r="A35" s="170"/>
      <x:c r="B35" s="170"/>
      <x:c r="C35" s="170"/>
      <x:c r="D35" s="170"/>
      <x:c r="E35" s="170"/>
      <x:c r="F35" s="171"/>
      <x:c r="G35" s="172"/>
      <x:c r="H35" s="170"/>
      <x:c r="I35" s="173" t="str">
        <x:f>IF(A35="","",IF(OR(P35&lt;&gt;"",COUNTIFS(Lotes!$B$5:$B$204,A35,Lotes!$U$5:$U$204,1)&gt;0,Listas!$B$13&lt;&gt;"OK"),"n.a.",SUMIFS(Lotes!$J$5:$J$204,Lotes!$B$5:$B$204,A35)))</x:f>
      </x:c>
      <x:c r="J35" s="174" t="str">
        <x:f>IF(A35="","",IF(OR(P35&lt;&gt;"",COUNTIFS(Lotes!$B$5:$B$204,A35,Lotes!$U$5:$U$204,1)&gt;0,Listas!$B$13&lt;&gt;"OK"),"n.a.",SUMIFS(Lotes!$L$5:$L$204,Lotes!$B$5:$B$204,A35)))</x:f>
      </x:c>
      <x:c r="K35" s="173" t="str">
        <x:f>IF(A35="","",IF(OR(P35&lt;&gt;"",COUNTIFS(Lotes!$B$5:$B$204,A35,Lotes!$U$5:$U$204,1)&gt;0,Listas!$B$13&lt;&gt;"OK"),"n.a.",COUNTIFS(Lotes!$B$5:$B$204,A35,Lotes!$J$5:$J$204,"&gt;0")))</x:f>
      </x:c>
      <x:c r="L35" s="173" t="str">
        <x:f>IF(A35="","",IF(OR(P35&lt;&gt;"",COUNTIFS(Lotes!$B$5:$B$204,A35,Lotes!$U$5:$U$204,1)&gt;0,Listas!$B$13&lt;&gt;"OK"),"n.a.",COUNTIFS(Lotes!$B$5:$B$204,A35,Lotes!$J$5:$J$204,"&gt;0",Lotes!$N$5:$N$204,"VENCIDO")))</x:f>
      </x:c>
      <x:c r="M35" s="173" t="str">
        <x:f>IF(A35="","",IF(OR(P35&lt;&gt;"",COUNTIFS(Lotes!$B$5:$B$204,A35,Lotes!$U$5:$U$204,1)&gt;0,Listas!$B$13&lt;&gt;"OK"),"n.a.",COUNTIFS(Lotes!$B$5:$B$204,A35,Lotes!$J$5:$J$204,"&gt;0",Lotes!$N$5:$N$204,"CRÍTICO")+COUNTIFS(Lotes!$B$5:$B$204,A35,Lotes!$J$5:$J$204,"&gt;0",Lotes!$N$5:$N$204,"VENCE NA JANELA")))</x:f>
      </x:c>
      <x:c r="N35" s="173" t="str">
        <x:f>IF(A35="","",IF(OR(P35&lt;&gt;"",COUNTIFS(Lotes!$B$5:$B$204,A35,Lotes!$U$5:$U$204,1)&gt;0,Listas!$B$13&lt;&gt;"OK"),"REVISAR DADOS",IF(H35="Inativo","INATIVO",IF(Q35&lt;=F35,"REPOR","OK"))))</x:f>
      </x:c>
      <x:c r="O35" s="27"/>
      <x:c r="P35" s="163" t="str">
        <x:f>IF(COUNTA(A35:H35,O35)=0,"",IF(OR(A35="",COUNTIFS($A$5:$A$204,A35)&lt;&gt;1),"SKU ausente ou duplicado",IF(OR(B35="",D35=""),"Produto ou unidade ausente",IF(OR(NOT(ISNUMBER(F35)),F35&lt;0,NOT(ISNUMBER(G35)),G35&lt;0),"Mínimo ou custo inválido",IF(AND(H35&lt;&gt;"Ativo",H35&lt;&gt;"Inativo"),"Status de produto inválido","")))))</x:f>
      </x:c>
      <x:c r="Q35" s="163" t="str">
        <x:f>IF(A35="","",IF(OR(P35&lt;&gt;"",COUNTIFS(Lotes!$B$5:$B$204,A35,Lotes!$U$5:$U$204,1)&gt;0,Listas!$B$13&lt;&gt;"OK"),"n.a.",SUMIFS(Lotes!$V$5:$V$204,Lotes!$B$5:$B$204,A35)))</x:f>
      </x:c>
      <x:c r="R35" s="163" t="n">
        <x:f>IF(P35="",0,1)</x:f>
        <x:v>0</x:v>
      </x:c>
      <x:c r="S35" s="163" t="n">
        <x:f>IF(COUNTA(A35:H35,O35)=0,0,IF(OR(Listas!$B$19="Todos",A35=Listas!$B$19,A35=""),1,0))</x:f>
        <x:v>0</x:v>
      </x:c>
      <x:c r="T35" s="163" t="n">
        <x:f>IF(S35=1,COUNTIFS($S$5:S35,1),0)</x:f>
        <x:v>0</x:v>
      </x:c>
      <x:c r="U35" s="1"/>
      <x:c r="V35" s="1"/>
      <x:c r="W35" s="1"/>
    </x:row>
    <x:row r="36" ht="32" customHeight="1">
      <x:c r="A36" s="170"/>
      <x:c r="B36" s="170"/>
      <x:c r="C36" s="170"/>
      <x:c r="D36" s="170"/>
      <x:c r="E36" s="170"/>
      <x:c r="F36" s="171"/>
      <x:c r="G36" s="172"/>
      <x:c r="H36" s="170"/>
      <x:c r="I36" s="173" t="str">
        <x:f>IF(A36="","",IF(OR(P36&lt;&gt;"",COUNTIFS(Lotes!$B$5:$B$204,A36,Lotes!$U$5:$U$204,1)&gt;0,Listas!$B$13&lt;&gt;"OK"),"n.a.",SUMIFS(Lotes!$J$5:$J$204,Lotes!$B$5:$B$204,A36)))</x:f>
      </x:c>
      <x:c r="J36" s="174" t="str">
        <x:f>IF(A36="","",IF(OR(P36&lt;&gt;"",COUNTIFS(Lotes!$B$5:$B$204,A36,Lotes!$U$5:$U$204,1)&gt;0,Listas!$B$13&lt;&gt;"OK"),"n.a.",SUMIFS(Lotes!$L$5:$L$204,Lotes!$B$5:$B$204,A36)))</x:f>
      </x:c>
      <x:c r="K36" s="173" t="str">
        <x:f>IF(A36="","",IF(OR(P36&lt;&gt;"",COUNTIFS(Lotes!$B$5:$B$204,A36,Lotes!$U$5:$U$204,1)&gt;0,Listas!$B$13&lt;&gt;"OK"),"n.a.",COUNTIFS(Lotes!$B$5:$B$204,A36,Lotes!$J$5:$J$204,"&gt;0")))</x:f>
      </x:c>
      <x:c r="L36" s="173" t="str">
        <x:f>IF(A36="","",IF(OR(P36&lt;&gt;"",COUNTIFS(Lotes!$B$5:$B$204,A36,Lotes!$U$5:$U$204,1)&gt;0,Listas!$B$13&lt;&gt;"OK"),"n.a.",COUNTIFS(Lotes!$B$5:$B$204,A36,Lotes!$J$5:$J$204,"&gt;0",Lotes!$N$5:$N$204,"VENCIDO")))</x:f>
      </x:c>
      <x:c r="M36" s="173" t="str">
        <x:f>IF(A36="","",IF(OR(P36&lt;&gt;"",COUNTIFS(Lotes!$B$5:$B$204,A36,Lotes!$U$5:$U$204,1)&gt;0,Listas!$B$13&lt;&gt;"OK"),"n.a.",COUNTIFS(Lotes!$B$5:$B$204,A36,Lotes!$J$5:$J$204,"&gt;0",Lotes!$N$5:$N$204,"CRÍTICO")+COUNTIFS(Lotes!$B$5:$B$204,A36,Lotes!$J$5:$J$204,"&gt;0",Lotes!$N$5:$N$204,"VENCE NA JANELA")))</x:f>
      </x:c>
      <x:c r="N36" s="173" t="str">
        <x:f>IF(A36="","",IF(OR(P36&lt;&gt;"",COUNTIFS(Lotes!$B$5:$B$204,A36,Lotes!$U$5:$U$204,1)&gt;0,Listas!$B$13&lt;&gt;"OK"),"REVISAR DADOS",IF(H36="Inativo","INATIVO",IF(Q36&lt;=F36,"REPOR","OK"))))</x:f>
      </x:c>
      <x:c r="O36" s="27"/>
      <x:c r="P36" s="163" t="str">
        <x:f>IF(COUNTA(A36:H36,O36)=0,"",IF(OR(A36="",COUNTIFS($A$5:$A$204,A36)&lt;&gt;1),"SKU ausente ou duplicado",IF(OR(B36="",D36=""),"Produto ou unidade ausente",IF(OR(NOT(ISNUMBER(F36)),F36&lt;0,NOT(ISNUMBER(G36)),G36&lt;0),"Mínimo ou custo inválido",IF(AND(H36&lt;&gt;"Ativo",H36&lt;&gt;"Inativo"),"Status de produto inválido","")))))</x:f>
      </x:c>
      <x:c r="Q36" s="163" t="str">
        <x:f>IF(A36="","",IF(OR(P36&lt;&gt;"",COUNTIFS(Lotes!$B$5:$B$204,A36,Lotes!$U$5:$U$204,1)&gt;0,Listas!$B$13&lt;&gt;"OK"),"n.a.",SUMIFS(Lotes!$V$5:$V$204,Lotes!$B$5:$B$204,A36)))</x:f>
      </x:c>
      <x:c r="R36" s="163" t="n">
        <x:f>IF(P36="",0,1)</x:f>
        <x:v>0</x:v>
      </x:c>
      <x:c r="S36" s="163" t="n">
        <x:f>IF(COUNTA(A36:H36,O36)=0,0,IF(OR(Listas!$B$19="Todos",A36=Listas!$B$19,A36=""),1,0))</x:f>
        <x:v>0</x:v>
      </x:c>
      <x:c r="T36" s="163" t="n">
        <x:f>IF(S36=1,COUNTIFS($S$5:S36,1),0)</x:f>
        <x:v>0</x:v>
      </x:c>
      <x:c r="U36" s="1"/>
      <x:c r="V36" s="1"/>
      <x:c r="W36" s="1"/>
    </x:row>
    <x:row r="37" ht="32" customHeight="1">
      <x:c r="A37" s="170"/>
      <x:c r="B37" s="170"/>
      <x:c r="C37" s="170"/>
      <x:c r="D37" s="170"/>
      <x:c r="E37" s="170"/>
      <x:c r="F37" s="171"/>
      <x:c r="G37" s="172"/>
      <x:c r="H37" s="170"/>
      <x:c r="I37" s="173" t="str">
        <x:f>IF(A37="","",IF(OR(P37&lt;&gt;"",COUNTIFS(Lotes!$B$5:$B$204,A37,Lotes!$U$5:$U$204,1)&gt;0,Listas!$B$13&lt;&gt;"OK"),"n.a.",SUMIFS(Lotes!$J$5:$J$204,Lotes!$B$5:$B$204,A37)))</x:f>
      </x:c>
      <x:c r="J37" s="174" t="str">
        <x:f>IF(A37="","",IF(OR(P37&lt;&gt;"",COUNTIFS(Lotes!$B$5:$B$204,A37,Lotes!$U$5:$U$204,1)&gt;0,Listas!$B$13&lt;&gt;"OK"),"n.a.",SUMIFS(Lotes!$L$5:$L$204,Lotes!$B$5:$B$204,A37)))</x:f>
      </x:c>
      <x:c r="K37" s="173" t="str">
        <x:f>IF(A37="","",IF(OR(P37&lt;&gt;"",COUNTIFS(Lotes!$B$5:$B$204,A37,Lotes!$U$5:$U$204,1)&gt;0,Listas!$B$13&lt;&gt;"OK"),"n.a.",COUNTIFS(Lotes!$B$5:$B$204,A37,Lotes!$J$5:$J$204,"&gt;0")))</x:f>
      </x:c>
      <x:c r="L37" s="173" t="str">
        <x:f>IF(A37="","",IF(OR(P37&lt;&gt;"",COUNTIFS(Lotes!$B$5:$B$204,A37,Lotes!$U$5:$U$204,1)&gt;0,Listas!$B$13&lt;&gt;"OK"),"n.a.",COUNTIFS(Lotes!$B$5:$B$204,A37,Lotes!$J$5:$J$204,"&gt;0",Lotes!$N$5:$N$204,"VENCIDO")))</x:f>
      </x:c>
      <x:c r="M37" s="173" t="str">
        <x:f>IF(A37="","",IF(OR(P37&lt;&gt;"",COUNTIFS(Lotes!$B$5:$B$204,A37,Lotes!$U$5:$U$204,1)&gt;0,Listas!$B$13&lt;&gt;"OK"),"n.a.",COUNTIFS(Lotes!$B$5:$B$204,A37,Lotes!$J$5:$J$204,"&gt;0",Lotes!$N$5:$N$204,"CRÍTICO")+COUNTIFS(Lotes!$B$5:$B$204,A37,Lotes!$J$5:$J$204,"&gt;0",Lotes!$N$5:$N$204,"VENCE NA JANELA")))</x:f>
      </x:c>
      <x:c r="N37" s="173" t="str">
        <x:f>IF(A37="","",IF(OR(P37&lt;&gt;"",COUNTIFS(Lotes!$B$5:$B$204,A37,Lotes!$U$5:$U$204,1)&gt;0,Listas!$B$13&lt;&gt;"OK"),"REVISAR DADOS",IF(H37="Inativo","INATIVO",IF(Q37&lt;=F37,"REPOR","OK"))))</x:f>
      </x:c>
      <x:c r="O37" s="27"/>
      <x:c r="P37" s="163" t="str">
        <x:f>IF(COUNTA(A37:H37,O37)=0,"",IF(OR(A37="",COUNTIFS($A$5:$A$204,A37)&lt;&gt;1),"SKU ausente ou duplicado",IF(OR(B37="",D37=""),"Produto ou unidade ausente",IF(OR(NOT(ISNUMBER(F37)),F37&lt;0,NOT(ISNUMBER(G37)),G37&lt;0),"Mínimo ou custo inválido",IF(AND(H37&lt;&gt;"Ativo",H37&lt;&gt;"Inativo"),"Status de produto inválido","")))))</x:f>
      </x:c>
      <x:c r="Q37" s="163" t="str">
        <x:f>IF(A37="","",IF(OR(P37&lt;&gt;"",COUNTIFS(Lotes!$B$5:$B$204,A37,Lotes!$U$5:$U$204,1)&gt;0,Listas!$B$13&lt;&gt;"OK"),"n.a.",SUMIFS(Lotes!$V$5:$V$204,Lotes!$B$5:$B$204,A37)))</x:f>
      </x:c>
      <x:c r="R37" s="163" t="n">
        <x:f>IF(P37="",0,1)</x:f>
        <x:v>0</x:v>
      </x:c>
      <x:c r="S37" s="163" t="n">
        <x:f>IF(COUNTA(A37:H37,O37)=0,0,IF(OR(Listas!$B$19="Todos",A37=Listas!$B$19,A37=""),1,0))</x:f>
        <x:v>0</x:v>
      </x:c>
      <x:c r="T37" s="163" t="n">
        <x:f>IF(S37=1,COUNTIFS($S$5:S37,1),0)</x:f>
        <x:v>0</x:v>
      </x:c>
      <x:c r="U37" s="1"/>
      <x:c r="V37" s="1"/>
      <x:c r="W37" s="1"/>
    </x:row>
    <x:row r="38" ht="32" customHeight="1">
      <x:c r="A38" s="170"/>
      <x:c r="B38" s="170"/>
      <x:c r="C38" s="170"/>
      <x:c r="D38" s="170"/>
      <x:c r="E38" s="170"/>
      <x:c r="F38" s="171"/>
      <x:c r="G38" s="172"/>
      <x:c r="H38" s="170"/>
      <x:c r="I38" s="173" t="str">
        <x:f>IF(A38="","",IF(OR(P38&lt;&gt;"",COUNTIFS(Lotes!$B$5:$B$204,A38,Lotes!$U$5:$U$204,1)&gt;0,Listas!$B$13&lt;&gt;"OK"),"n.a.",SUMIFS(Lotes!$J$5:$J$204,Lotes!$B$5:$B$204,A38)))</x:f>
      </x:c>
      <x:c r="J38" s="174" t="str">
        <x:f>IF(A38="","",IF(OR(P38&lt;&gt;"",COUNTIFS(Lotes!$B$5:$B$204,A38,Lotes!$U$5:$U$204,1)&gt;0,Listas!$B$13&lt;&gt;"OK"),"n.a.",SUMIFS(Lotes!$L$5:$L$204,Lotes!$B$5:$B$204,A38)))</x:f>
      </x:c>
      <x:c r="K38" s="173" t="str">
        <x:f>IF(A38="","",IF(OR(P38&lt;&gt;"",COUNTIFS(Lotes!$B$5:$B$204,A38,Lotes!$U$5:$U$204,1)&gt;0,Listas!$B$13&lt;&gt;"OK"),"n.a.",COUNTIFS(Lotes!$B$5:$B$204,A38,Lotes!$J$5:$J$204,"&gt;0")))</x:f>
      </x:c>
      <x:c r="L38" s="173" t="str">
        <x:f>IF(A38="","",IF(OR(P38&lt;&gt;"",COUNTIFS(Lotes!$B$5:$B$204,A38,Lotes!$U$5:$U$204,1)&gt;0,Listas!$B$13&lt;&gt;"OK"),"n.a.",COUNTIFS(Lotes!$B$5:$B$204,A38,Lotes!$J$5:$J$204,"&gt;0",Lotes!$N$5:$N$204,"VENCIDO")))</x:f>
      </x:c>
      <x:c r="M38" s="173" t="str">
        <x:f>IF(A38="","",IF(OR(P38&lt;&gt;"",COUNTIFS(Lotes!$B$5:$B$204,A38,Lotes!$U$5:$U$204,1)&gt;0,Listas!$B$13&lt;&gt;"OK"),"n.a.",COUNTIFS(Lotes!$B$5:$B$204,A38,Lotes!$J$5:$J$204,"&gt;0",Lotes!$N$5:$N$204,"CRÍTICO")+COUNTIFS(Lotes!$B$5:$B$204,A38,Lotes!$J$5:$J$204,"&gt;0",Lotes!$N$5:$N$204,"VENCE NA JANELA")))</x:f>
      </x:c>
      <x:c r="N38" s="173" t="str">
        <x:f>IF(A38="","",IF(OR(P38&lt;&gt;"",COUNTIFS(Lotes!$B$5:$B$204,A38,Lotes!$U$5:$U$204,1)&gt;0,Listas!$B$13&lt;&gt;"OK"),"REVISAR DADOS",IF(H38="Inativo","INATIVO",IF(Q38&lt;=F38,"REPOR","OK"))))</x:f>
      </x:c>
      <x:c r="O38" s="27"/>
      <x:c r="P38" s="163" t="str">
        <x:f>IF(COUNTA(A38:H38,O38)=0,"",IF(OR(A38="",COUNTIFS($A$5:$A$204,A38)&lt;&gt;1),"SKU ausente ou duplicado",IF(OR(B38="",D38=""),"Produto ou unidade ausente",IF(OR(NOT(ISNUMBER(F38)),F38&lt;0,NOT(ISNUMBER(G38)),G38&lt;0),"Mínimo ou custo inválido",IF(AND(H38&lt;&gt;"Ativo",H38&lt;&gt;"Inativo"),"Status de produto inválido","")))))</x:f>
      </x:c>
      <x:c r="Q38" s="163" t="str">
        <x:f>IF(A38="","",IF(OR(P38&lt;&gt;"",COUNTIFS(Lotes!$B$5:$B$204,A38,Lotes!$U$5:$U$204,1)&gt;0,Listas!$B$13&lt;&gt;"OK"),"n.a.",SUMIFS(Lotes!$V$5:$V$204,Lotes!$B$5:$B$204,A38)))</x:f>
      </x:c>
      <x:c r="R38" s="163" t="n">
        <x:f>IF(P38="",0,1)</x:f>
        <x:v>0</x:v>
      </x:c>
      <x:c r="S38" s="163" t="n">
        <x:f>IF(COUNTA(A38:H38,O38)=0,0,IF(OR(Listas!$B$19="Todos",A38=Listas!$B$19,A38=""),1,0))</x:f>
        <x:v>0</x:v>
      </x:c>
      <x:c r="T38" s="163" t="n">
        <x:f>IF(S38=1,COUNTIFS($S$5:S38,1),0)</x:f>
        <x:v>0</x:v>
      </x:c>
      <x:c r="U38" s="1"/>
      <x:c r="V38" s="1"/>
      <x:c r="W38" s="1"/>
    </x:row>
    <x:row r="39" ht="32" customHeight="1">
      <x:c r="A39" s="170"/>
      <x:c r="B39" s="170"/>
      <x:c r="C39" s="170"/>
      <x:c r="D39" s="170"/>
      <x:c r="E39" s="170"/>
      <x:c r="F39" s="171"/>
      <x:c r="G39" s="172"/>
      <x:c r="H39" s="170"/>
      <x:c r="I39" s="173" t="str">
        <x:f>IF(A39="","",IF(OR(P39&lt;&gt;"",COUNTIFS(Lotes!$B$5:$B$204,A39,Lotes!$U$5:$U$204,1)&gt;0,Listas!$B$13&lt;&gt;"OK"),"n.a.",SUMIFS(Lotes!$J$5:$J$204,Lotes!$B$5:$B$204,A39)))</x:f>
      </x:c>
      <x:c r="J39" s="174" t="str">
        <x:f>IF(A39="","",IF(OR(P39&lt;&gt;"",COUNTIFS(Lotes!$B$5:$B$204,A39,Lotes!$U$5:$U$204,1)&gt;0,Listas!$B$13&lt;&gt;"OK"),"n.a.",SUMIFS(Lotes!$L$5:$L$204,Lotes!$B$5:$B$204,A39)))</x:f>
      </x:c>
      <x:c r="K39" s="173" t="str">
        <x:f>IF(A39="","",IF(OR(P39&lt;&gt;"",COUNTIFS(Lotes!$B$5:$B$204,A39,Lotes!$U$5:$U$204,1)&gt;0,Listas!$B$13&lt;&gt;"OK"),"n.a.",COUNTIFS(Lotes!$B$5:$B$204,A39,Lotes!$J$5:$J$204,"&gt;0")))</x:f>
      </x:c>
      <x:c r="L39" s="173" t="str">
        <x:f>IF(A39="","",IF(OR(P39&lt;&gt;"",COUNTIFS(Lotes!$B$5:$B$204,A39,Lotes!$U$5:$U$204,1)&gt;0,Listas!$B$13&lt;&gt;"OK"),"n.a.",COUNTIFS(Lotes!$B$5:$B$204,A39,Lotes!$J$5:$J$204,"&gt;0",Lotes!$N$5:$N$204,"VENCIDO")))</x:f>
      </x:c>
      <x:c r="M39" s="173" t="str">
        <x:f>IF(A39="","",IF(OR(P39&lt;&gt;"",COUNTIFS(Lotes!$B$5:$B$204,A39,Lotes!$U$5:$U$204,1)&gt;0,Listas!$B$13&lt;&gt;"OK"),"n.a.",COUNTIFS(Lotes!$B$5:$B$204,A39,Lotes!$J$5:$J$204,"&gt;0",Lotes!$N$5:$N$204,"CRÍTICO")+COUNTIFS(Lotes!$B$5:$B$204,A39,Lotes!$J$5:$J$204,"&gt;0",Lotes!$N$5:$N$204,"VENCE NA JANELA")))</x:f>
      </x:c>
      <x:c r="N39" s="173" t="str">
        <x:f>IF(A39="","",IF(OR(P39&lt;&gt;"",COUNTIFS(Lotes!$B$5:$B$204,A39,Lotes!$U$5:$U$204,1)&gt;0,Listas!$B$13&lt;&gt;"OK"),"REVISAR DADOS",IF(H39="Inativo","INATIVO",IF(Q39&lt;=F39,"REPOR","OK"))))</x:f>
      </x:c>
      <x:c r="O39" s="27"/>
      <x:c r="P39" s="163" t="str">
        <x:f>IF(COUNTA(A39:H39,O39)=0,"",IF(OR(A39="",COUNTIFS($A$5:$A$204,A39)&lt;&gt;1),"SKU ausente ou duplicado",IF(OR(B39="",D39=""),"Produto ou unidade ausente",IF(OR(NOT(ISNUMBER(F39)),F39&lt;0,NOT(ISNUMBER(G39)),G39&lt;0),"Mínimo ou custo inválido",IF(AND(H39&lt;&gt;"Ativo",H39&lt;&gt;"Inativo"),"Status de produto inválido","")))))</x:f>
      </x:c>
      <x:c r="Q39" s="163" t="str">
        <x:f>IF(A39="","",IF(OR(P39&lt;&gt;"",COUNTIFS(Lotes!$B$5:$B$204,A39,Lotes!$U$5:$U$204,1)&gt;0,Listas!$B$13&lt;&gt;"OK"),"n.a.",SUMIFS(Lotes!$V$5:$V$204,Lotes!$B$5:$B$204,A39)))</x:f>
      </x:c>
      <x:c r="R39" s="163" t="n">
        <x:f>IF(P39="",0,1)</x:f>
        <x:v>0</x:v>
      </x:c>
      <x:c r="S39" s="163" t="n">
        <x:f>IF(COUNTA(A39:H39,O39)=0,0,IF(OR(Listas!$B$19="Todos",A39=Listas!$B$19,A39=""),1,0))</x:f>
        <x:v>0</x:v>
      </x:c>
      <x:c r="T39" s="163" t="n">
        <x:f>IF(S39=1,COUNTIFS($S$5:S39,1),0)</x:f>
        <x:v>0</x:v>
      </x:c>
      <x:c r="U39" s="1"/>
      <x:c r="V39" s="1"/>
      <x:c r="W39" s="1"/>
    </x:row>
    <x:row r="40" ht="32" customHeight="1">
      <x:c r="A40" s="170"/>
      <x:c r="B40" s="170"/>
      <x:c r="C40" s="170"/>
      <x:c r="D40" s="170"/>
      <x:c r="E40" s="170"/>
      <x:c r="F40" s="171"/>
      <x:c r="G40" s="172"/>
      <x:c r="H40" s="170"/>
      <x:c r="I40" s="173" t="str">
        <x:f>IF(A40="","",IF(OR(P40&lt;&gt;"",COUNTIFS(Lotes!$B$5:$B$204,A40,Lotes!$U$5:$U$204,1)&gt;0,Listas!$B$13&lt;&gt;"OK"),"n.a.",SUMIFS(Lotes!$J$5:$J$204,Lotes!$B$5:$B$204,A40)))</x:f>
      </x:c>
      <x:c r="J40" s="174" t="str">
        <x:f>IF(A40="","",IF(OR(P40&lt;&gt;"",COUNTIFS(Lotes!$B$5:$B$204,A40,Lotes!$U$5:$U$204,1)&gt;0,Listas!$B$13&lt;&gt;"OK"),"n.a.",SUMIFS(Lotes!$L$5:$L$204,Lotes!$B$5:$B$204,A40)))</x:f>
      </x:c>
      <x:c r="K40" s="173" t="str">
        <x:f>IF(A40="","",IF(OR(P40&lt;&gt;"",COUNTIFS(Lotes!$B$5:$B$204,A40,Lotes!$U$5:$U$204,1)&gt;0,Listas!$B$13&lt;&gt;"OK"),"n.a.",COUNTIFS(Lotes!$B$5:$B$204,A40,Lotes!$J$5:$J$204,"&gt;0")))</x:f>
      </x:c>
      <x:c r="L40" s="173" t="str">
        <x:f>IF(A40="","",IF(OR(P40&lt;&gt;"",COUNTIFS(Lotes!$B$5:$B$204,A40,Lotes!$U$5:$U$204,1)&gt;0,Listas!$B$13&lt;&gt;"OK"),"n.a.",COUNTIFS(Lotes!$B$5:$B$204,A40,Lotes!$J$5:$J$204,"&gt;0",Lotes!$N$5:$N$204,"VENCIDO")))</x:f>
      </x:c>
      <x:c r="M40" s="173" t="str">
        <x:f>IF(A40="","",IF(OR(P40&lt;&gt;"",COUNTIFS(Lotes!$B$5:$B$204,A40,Lotes!$U$5:$U$204,1)&gt;0,Listas!$B$13&lt;&gt;"OK"),"n.a.",COUNTIFS(Lotes!$B$5:$B$204,A40,Lotes!$J$5:$J$204,"&gt;0",Lotes!$N$5:$N$204,"CRÍTICO")+COUNTIFS(Lotes!$B$5:$B$204,A40,Lotes!$J$5:$J$204,"&gt;0",Lotes!$N$5:$N$204,"VENCE NA JANELA")))</x:f>
      </x:c>
      <x:c r="N40" s="173" t="str">
        <x:f>IF(A40="","",IF(OR(P40&lt;&gt;"",COUNTIFS(Lotes!$B$5:$B$204,A40,Lotes!$U$5:$U$204,1)&gt;0,Listas!$B$13&lt;&gt;"OK"),"REVISAR DADOS",IF(H40="Inativo","INATIVO",IF(Q40&lt;=F40,"REPOR","OK"))))</x:f>
      </x:c>
      <x:c r="O40" s="27"/>
      <x:c r="P40" s="163" t="str">
        <x:f>IF(COUNTA(A40:H40,O40)=0,"",IF(OR(A40="",COUNTIFS($A$5:$A$204,A40)&lt;&gt;1),"SKU ausente ou duplicado",IF(OR(B40="",D40=""),"Produto ou unidade ausente",IF(OR(NOT(ISNUMBER(F40)),F40&lt;0,NOT(ISNUMBER(G40)),G40&lt;0),"Mínimo ou custo inválido",IF(AND(H40&lt;&gt;"Ativo",H40&lt;&gt;"Inativo"),"Status de produto inválido","")))))</x:f>
      </x:c>
      <x:c r="Q40" s="163" t="str">
        <x:f>IF(A40="","",IF(OR(P40&lt;&gt;"",COUNTIFS(Lotes!$B$5:$B$204,A40,Lotes!$U$5:$U$204,1)&gt;0,Listas!$B$13&lt;&gt;"OK"),"n.a.",SUMIFS(Lotes!$V$5:$V$204,Lotes!$B$5:$B$204,A40)))</x:f>
      </x:c>
      <x:c r="R40" s="163" t="n">
        <x:f>IF(P40="",0,1)</x:f>
        <x:v>0</x:v>
      </x:c>
      <x:c r="S40" s="163" t="n">
        <x:f>IF(COUNTA(A40:H40,O40)=0,0,IF(OR(Listas!$B$19="Todos",A40=Listas!$B$19,A40=""),1,0))</x:f>
        <x:v>0</x:v>
      </x:c>
      <x:c r="T40" s="163" t="n">
        <x:f>IF(S40=1,COUNTIFS($S$5:S40,1),0)</x:f>
        <x:v>0</x:v>
      </x:c>
      <x:c r="U40" s="1"/>
      <x:c r="V40" s="1"/>
      <x:c r="W40" s="1"/>
    </x:row>
    <x:row r="41" ht="32" customHeight="1">
      <x:c r="A41" s="170"/>
      <x:c r="B41" s="170"/>
      <x:c r="C41" s="170"/>
      <x:c r="D41" s="170"/>
      <x:c r="E41" s="170"/>
      <x:c r="F41" s="171"/>
      <x:c r="G41" s="172"/>
      <x:c r="H41" s="170"/>
      <x:c r="I41" s="173" t="str">
        <x:f>IF(A41="","",IF(OR(P41&lt;&gt;"",COUNTIFS(Lotes!$B$5:$B$204,A41,Lotes!$U$5:$U$204,1)&gt;0,Listas!$B$13&lt;&gt;"OK"),"n.a.",SUMIFS(Lotes!$J$5:$J$204,Lotes!$B$5:$B$204,A41)))</x:f>
      </x:c>
      <x:c r="J41" s="174" t="str">
        <x:f>IF(A41="","",IF(OR(P41&lt;&gt;"",COUNTIFS(Lotes!$B$5:$B$204,A41,Lotes!$U$5:$U$204,1)&gt;0,Listas!$B$13&lt;&gt;"OK"),"n.a.",SUMIFS(Lotes!$L$5:$L$204,Lotes!$B$5:$B$204,A41)))</x:f>
      </x:c>
      <x:c r="K41" s="173" t="str">
        <x:f>IF(A41="","",IF(OR(P41&lt;&gt;"",COUNTIFS(Lotes!$B$5:$B$204,A41,Lotes!$U$5:$U$204,1)&gt;0,Listas!$B$13&lt;&gt;"OK"),"n.a.",COUNTIFS(Lotes!$B$5:$B$204,A41,Lotes!$J$5:$J$204,"&gt;0")))</x:f>
      </x:c>
      <x:c r="L41" s="173" t="str">
        <x:f>IF(A41="","",IF(OR(P41&lt;&gt;"",COUNTIFS(Lotes!$B$5:$B$204,A41,Lotes!$U$5:$U$204,1)&gt;0,Listas!$B$13&lt;&gt;"OK"),"n.a.",COUNTIFS(Lotes!$B$5:$B$204,A41,Lotes!$J$5:$J$204,"&gt;0",Lotes!$N$5:$N$204,"VENCIDO")))</x:f>
      </x:c>
      <x:c r="M41" s="173" t="str">
        <x:f>IF(A41="","",IF(OR(P41&lt;&gt;"",COUNTIFS(Lotes!$B$5:$B$204,A41,Lotes!$U$5:$U$204,1)&gt;0,Listas!$B$13&lt;&gt;"OK"),"n.a.",COUNTIFS(Lotes!$B$5:$B$204,A41,Lotes!$J$5:$J$204,"&gt;0",Lotes!$N$5:$N$204,"CRÍTICO")+COUNTIFS(Lotes!$B$5:$B$204,A41,Lotes!$J$5:$J$204,"&gt;0",Lotes!$N$5:$N$204,"VENCE NA JANELA")))</x:f>
      </x:c>
      <x:c r="N41" s="173" t="str">
        <x:f>IF(A41="","",IF(OR(P41&lt;&gt;"",COUNTIFS(Lotes!$B$5:$B$204,A41,Lotes!$U$5:$U$204,1)&gt;0,Listas!$B$13&lt;&gt;"OK"),"REVISAR DADOS",IF(H41="Inativo","INATIVO",IF(Q41&lt;=F41,"REPOR","OK"))))</x:f>
      </x:c>
      <x:c r="O41" s="27"/>
      <x:c r="P41" s="163" t="str">
        <x:f>IF(COUNTA(A41:H41,O41)=0,"",IF(OR(A41="",COUNTIFS($A$5:$A$204,A41)&lt;&gt;1),"SKU ausente ou duplicado",IF(OR(B41="",D41=""),"Produto ou unidade ausente",IF(OR(NOT(ISNUMBER(F41)),F41&lt;0,NOT(ISNUMBER(G41)),G41&lt;0),"Mínimo ou custo inválido",IF(AND(H41&lt;&gt;"Ativo",H41&lt;&gt;"Inativo"),"Status de produto inválido","")))))</x:f>
      </x:c>
      <x:c r="Q41" s="163" t="str">
        <x:f>IF(A41="","",IF(OR(P41&lt;&gt;"",COUNTIFS(Lotes!$B$5:$B$204,A41,Lotes!$U$5:$U$204,1)&gt;0,Listas!$B$13&lt;&gt;"OK"),"n.a.",SUMIFS(Lotes!$V$5:$V$204,Lotes!$B$5:$B$204,A41)))</x:f>
      </x:c>
      <x:c r="R41" s="163" t="n">
        <x:f>IF(P41="",0,1)</x:f>
        <x:v>0</x:v>
      </x:c>
      <x:c r="S41" s="163" t="n">
        <x:f>IF(COUNTA(A41:H41,O41)=0,0,IF(OR(Listas!$B$19="Todos",A41=Listas!$B$19,A41=""),1,0))</x:f>
        <x:v>0</x:v>
      </x:c>
      <x:c r="T41" s="163" t="n">
        <x:f>IF(S41=1,COUNTIFS($S$5:S41,1),0)</x:f>
        <x:v>0</x:v>
      </x:c>
      <x:c r="U41" s="1"/>
      <x:c r="V41" s="1"/>
      <x:c r="W41" s="1"/>
    </x:row>
    <x:row r="42" ht="32" customHeight="1">
      <x:c r="A42" s="170"/>
      <x:c r="B42" s="170"/>
      <x:c r="C42" s="170"/>
      <x:c r="D42" s="170"/>
      <x:c r="E42" s="170"/>
      <x:c r="F42" s="171"/>
      <x:c r="G42" s="172"/>
      <x:c r="H42" s="170"/>
      <x:c r="I42" s="173" t="str">
        <x:f>IF(A42="","",IF(OR(P42&lt;&gt;"",COUNTIFS(Lotes!$B$5:$B$204,A42,Lotes!$U$5:$U$204,1)&gt;0,Listas!$B$13&lt;&gt;"OK"),"n.a.",SUMIFS(Lotes!$J$5:$J$204,Lotes!$B$5:$B$204,A42)))</x:f>
      </x:c>
      <x:c r="J42" s="174" t="str">
        <x:f>IF(A42="","",IF(OR(P42&lt;&gt;"",COUNTIFS(Lotes!$B$5:$B$204,A42,Lotes!$U$5:$U$204,1)&gt;0,Listas!$B$13&lt;&gt;"OK"),"n.a.",SUMIFS(Lotes!$L$5:$L$204,Lotes!$B$5:$B$204,A42)))</x:f>
      </x:c>
      <x:c r="K42" s="173" t="str">
        <x:f>IF(A42="","",IF(OR(P42&lt;&gt;"",COUNTIFS(Lotes!$B$5:$B$204,A42,Lotes!$U$5:$U$204,1)&gt;0,Listas!$B$13&lt;&gt;"OK"),"n.a.",COUNTIFS(Lotes!$B$5:$B$204,A42,Lotes!$J$5:$J$204,"&gt;0")))</x:f>
      </x:c>
      <x:c r="L42" s="173" t="str">
        <x:f>IF(A42="","",IF(OR(P42&lt;&gt;"",COUNTIFS(Lotes!$B$5:$B$204,A42,Lotes!$U$5:$U$204,1)&gt;0,Listas!$B$13&lt;&gt;"OK"),"n.a.",COUNTIFS(Lotes!$B$5:$B$204,A42,Lotes!$J$5:$J$204,"&gt;0",Lotes!$N$5:$N$204,"VENCIDO")))</x:f>
      </x:c>
      <x:c r="M42" s="173" t="str">
        <x:f>IF(A42="","",IF(OR(P42&lt;&gt;"",COUNTIFS(Lotes!$B$5:$B$204,A42,Lotes!$U$5:$U$204,1)&gt;0,Listas!$B$13&lt;&gt;"OK"),"n.a.",COUNTIFS(Lotes!$B$5:$B$204,A42,Lotes!$J$5:$J$204,"&gt;0",Lotes!$N$5:$N$204,"CRÍTICO")+COUNTIFS(Lotes!$B$5:$B$204,A42,Lotes!$J$5:$J$204,"&gt;0",Lotes!$N$5:$N$204,"VENCE NA JANELA")))</x:f>
      </x:c>
      <x:c r="N42" s="173" t="str">
        <x:f>IF(A42="","",IF(OR(P42&lt;&gt;"",COUNTIFS(Lotes!$B$5:$B$204,A42,Lotes!$U$5:$U$204,1)&gt;0,Listas!$B$13&lt;&gt;"OK"),"REVISAR DADOS",IF(H42="Inativo","INATIVO",IF(Q42&lt;=F42,"REPOR","OK"))))</x:f>
      </x:c>
      <x:c r="O42" s="27"/>
      <x:c r="P42" s="163" t="str">
        <x:f>IF(COUNTA(A42:H42,O42)=0,"",IF(OR(A42="",COUNTIFS($A$5:$A$204,A42)&lt;&gt;1),"SKU ausente ou duplicado",IF(OR(B42="",D42=""),"Produto ou unidade ausente",IF(OR(NOT(ISNUMBER(F42)),F42&lt;0,NOT(ISNUMBER(G42)),G42&lt;0),"Mínimo ou custo inválido",IF(AND(H42&lt;&gt;"Ativo",H42&lt;&gt;"Inativo"),"Status de produto inválido","")))))</x:f>
      </x:c>
      <x:c r="Q42" s="163" t="str">
        <x:f>IF(A42="","",IF(OR(P42&lt;&gt;"",COUNTIFS(Lotes!$B$5:$B$204,A42,Lotes!$U$5:$U$204,1)&gt;0,Listas!$B$13&lt;&gt;"OK"),"n.a.",SUMIFS(Lotes!$V$5:$V$204,Lotes!$B$5:$B$204,A42)))</x:f>
      </x:c>
      <x:c r="R42" s="163" t="n">
        <x:f>IF(P42="",0,1)</x:f>
        <x:v>0</x:v>
      </x:c>
      <x:c r="S42" s="163" t="n">
        <x:f>IF(COUNTA(A42:H42,O42)=0,0,IF(OR(Listas!$B$19="Todos",A42=Listas!$B$19,A42=""),1,0))</x:f>
        <x:v>0</x:v>
      </x:c>
      <x:c r="T42" s="163" t="n">
        <x:f>IF(S42=1,COUNTIFS($S$5:S42,1),0)</x:f>
        <x:v>0</x:v>
      </x:c>
      <x:c r="U42" s="1"/>
      <x:c r="V42" s="1"/>
      <x:c r="W42" s="1"/>
    </x:row>
    <x:row r="43" ht="32" customHeight="1">
      <x:c r="A43" s="170"/>
      <x:c r="B43" s="170"/>
      <x:c r="C43" s="170"/>
      <x:c r="D43" s="170"/>
      <x:c r="E43" s="170"/>
      <x:c r="F43" s="171"/>
      <x:c r="G43" s="172"/>
      <x:c r="H43" s="170"/>
      <x:c r="I43" s="173" t="str">
        <x:f>IF(A43="","",IF(OR(P43&lt;&gt;"",COUNTIFS(Lotes!$B$5:$B$204,A43,Lotes!$U$5:$U$204,1)&gt;0,Listas!$B$13&lt;&gt;"OK"),"n.a.",SUMIFS(Lotes!$J$5:$J$204,Lotes!$B$5:$B$204,A43)))</x:f>
      </x:c>
      <x:c r="J43" s="174" t="str">
        <x:f>IF(A43="","",IF(OR(P43&lt;&gt;"",COUNTIFS(Lotes!$B$5:$B$204,A43,Lotes!$U$5:$U$204,1)&gt;0,Listas!$B$13&lt;&gt;"OK"),"n.a.",SUMIFS(Lotes!$L$5:$L$204,Lotes!$B$5:$B$204,A43)))</x:f>
      </x:c>
      <x:c r="K43" s="173" t="str">
        <x:f>IF(A43="","",IF(OR(P43&lt;&gt;"",COUNTIFS(Lotes!$B$5:$B$204,A43,Lotes!$U$5:$U$204,1)&gt;0,Listas!$B$13&lt;&gt;"OK"),"n.a.",COUNTIFS(Lotes!$B$5:$B$204,A43,Lotes!$J$5:$J$204,"&gt;0")))</x:f>
      </x:c>
      <x:c r="L43" s="173" t="str">
        <x:f>IF(A43="","",IF(OR(P43&lt;&gt;"",COUNTIFS(Lotes!$B$5:$B$204,A43,Lotes!$U$5:$U$204,1)&gt;0,Listas!$B$13&lt;&gt;"OK"),"n.a.",COUNTIFS(Lotes!$B$5:$B$204,A43,Lotes!$J$5:$J$204,"&gt;0",Lotes!$N$5:$N$204,"VENCIDO")))</x:f>
      </x:c>
      <x:c r="M43" s="173" t="str">
        <x:f>IF(A43="","",IF(OR(P43&lt;&gt;"",COUNTIFS(Lotes!$B$5:$B$204,A43,Lotes!$U$5:$U$204,1)&gt;0,Listas!$B$13&lt;&gt;"OK"),"n.a.",COUNTIFS(Lotes!$B$5:$B$204,A43,Lotes!$J$5:$J$204,"&gt;0",Lotes!$N$5:$N$204,"CRÍTICO")+COUNTIFS(Lotes!$B$5:$B$204,A43,Lotes!$J$5:$J$204,"&gt;0",Lotes!$N$5:$N$204,"VENCE NA JANELA")))</x:f>
      </x:c>
      <x:c r="N43" s="173" t="str">
        <x:f>IF(A43="","",IF(OR(P43&lt;&gt;"",COUNTIFS(Lotes!$B$5:$B$204,A43,Lotes!$U$5:$U$204,1)&gt;0,Listas!$B$13&lt;&gt;"OK"),"REVISAR DADOS",IF(H43="Inativo","INATIVO",IF(Q43&lt;=F43,"REPOR","OK"))))</x:f>
      </x:c>
      <x:c r="O43" s="27"/>
      <x:c r="P43" s="163" t="str">
        <x:f>IF(COUNTA(A43:H43,O43)=0,"",IF(OR(A43="",COUNTIFS($A$5:$A$204,A43)&lt;&gt;1),"SKU ausente ou duplicado",IF(OR(B43="",D43=""),"Produto ou unidade ausente",IF(OR(NOT(ISNUMBER(F43)),F43&lt;0,NOT(ISNUMBER(G43)),G43&lt;0),"Mínimo ou custo inválido",IF(AND(H43&lt;&gt;"Ativo",H43&lt;&gt;"Inativo"),"Status de produto inválido","")))))</x:f>
      </x:c>
      <x:c r="Q43" s="163" t="str">
        <x:f>IF(A43="","",IF(OR(P43&lt;&gt;"",COUNTIFS(Lotes!$B$5:$B$204,A43,Lotes!$U$5:$U$204,1)&gt;0,Listas!$B$13&lt;&gt;"OK"),"n.a.",SUMIFS(Lotes!$V$5:$V$204,Lotes!$B$5:$B$204,A43)))</x:f>
      </x:c>
      <x:c r="R43" s="163" t="n">
        <x:f>IF(P43="",0,1)</x:f>
        <x:v>0</x:v>
      </x:c>
      <x:c r="S43" s="163" t="n">
        <x:f>IF(COUNTA(A43:H43,O43)=0,0,IF(OR(Listas!$B$19="Todos",A43=Listas!$B$19,A43=""),1,0))</x:f>
        <x:v>0</x:v>
      </x:c>
      <x:c r="T43" s="163" t="n">
        <x:f>IF(S43=1,COUNTIFS($S$5:S43,1),0)</x:f>
        <x:v>0</x:v>
      </x:c>
      <x:c r="U43" s="1"/>
      <x:c r="V43" s="1"/>
      <x:c r="W43" s="1"/>
    </x:row>
    <x:row r="44" ht="32" customHeight="1">
      <x:c r="A44" s="170"/>
      <x:c r="B44" s="170"/>
      <x:c r="C44" s="170"/>
      <x:c r="D44" s="170"/>
      <x:c r="E44" s="170"/>
      <x:c r="F44" s="171"/>
      <x:c r="G44" s="172"/>
      <x:c r="H44" s="170"/>
      <x:c r="I44" s="173" t="str">
        <x:f>IF(A44="","",IF(OR(P44&lt;&gt;"",COUNTIFS(Lotes!$B$5:$B$204,A44,Lotes!$U$5:$U$204,1)&gt;0,Listas!$B$13&lt;&gt;"OK"),"n.a.",SUMIFS(Lotes!$J$5:$J$204,Lotes!$B$5:$B$204,A44)))</x:f>
      </x:c>
      <x:c r="J44" s="174" t="str">
        <x:f>IF(A44="","",IF(OR(P44&lt;&gt;"",COUNTIFS(Lotes!$B$5:$B$204,A44,Lotes!$U$5:$U$204,1)&gt;0,Listas!$B$13&lt;&gt;"OK"),"n.a.",SUMIFS(Lotes!$L$5:$L$204,Lotes!$B$5:$B$204,A44)))</x:f>
      </x:c>
      <x:c r="K44" s="173" t="str">
        <x:f>IF(A44="","",IF(OR(P44&lt;&gt;"",COUNTIFS(Lotes!$B$5:$B$204,A44,Lotes!$U$5:$U$204,1)&gt;0,Listas!$B$13&lt;&gt;"OK"),"n.a.",COUNTIFS(Lotes!$B$5:$B$204,A44,Lotes!$J$5:$J$204,"&gt;0")))</x:f>
      </x:c>
      <x:c r="L44" s="173" t="str">
        <x:f>IF(A44="","",IF(OR(P44&lt;&gt;"",COUNTIFS(Lotes!$B$5:$B$204,A44,Lotes!$U$5:$U$204,1)&gt;0,Listas!$B$13&lt;&gt;"OK"),"n.a.",COUNTIFS(Lotes!$B$5:$B$204,A44,Lotes!$J$5:$J$204,"&gt;0",Lotes!$N$5:$N$204,"VENCIDO")))</x:f>
      </x:c>
      <x:c r="M44" s="173" t="str">
        <x:f>IF(A44="","",IF(OR(P44&lt;&gt;"",COUNTIFS(Lotes!$B$5:$B$204,A44,Lotes!$U$5:$U$204,1)&gt;0,Listas!$B$13&lt;&gt;"OK"),"n.a.",COUNTIFS(Lotes!$B$5:$B$204,A44,Lotes!$J$5:$J$204,"&gt;0",Lotes!$N$5:$N$204,"CRÍTICO")+COUNTIFS(Lotes!$B$5:$B$204,A44,Lotes!$J$5:$J$204,"&gt;0",Lotes!$N$5:$N$204,"VENCE NA JANELA")))</x:f>
      </x:c>
      <x:c r="N44" s="173" t="str">
        <x:f>IF(A44="","",IF(OR(P44&lt;&gt;"",COUNTIFS(Lotes!$B$5:$B$204,A44,Lotes!$U$5:$U$204,1)&gt;0,Listas!$B$13&lt;&gt;"OK"),"REVISAR DADOS",IF(H44="Inativo","INATIVO",IF(Q44&lt;=F44,"REPOR","OK"))))</x:f>
      </x:c>
      <x:c r="O44" s="27"/>
      <x:c r="P44" s="163" t="str">
        <x:f>IF(COUNTA(A44:H44,O44)=0,"",IF(OR(A44="",COUNTIFS($A$5:$A$204,A44)&lt;&gt;1),"SKU ausente ou duplicado",IF(OR(B44="",D44=""),"Produto ou unidade ausente",IF(OR(NOT(ISNUMBER(F44)),F44&lt;0,NOT(ISNUMBER(G44)),G44&lt;0),"Mínimo ou custo inválido",IF(AND(H44&lt;&gt;"Ativo",H44&lt;&gt;"Inativo"),"Status de produto inválido","")))))</x:f>
      </x:c>
      <x:c r="Q44" s="163" t="str">
        <x:f>IF(A44="","",IF(OR(P44&lt;&gt;"",COUNTIFS(Lotes!$B$5:$B$204,A44,Lotes!$U$5:$U$204,1)&gt;0,Listas!$B$13&lt;&gt;"OK"),"n.a.",SUMIFS(Lotes!$V$5:$V$204,Lotes!$B$5:$B$204,A44)))</x:f>
      </x:c>
      <x:c r="R44" s="163" t="n">
        <x:f>IF(P44="",0,1)</x:f>
        <x:v>0</x:v>
      </x:c>
      <x:c r="S44" s="163" t="n">
        <x:f>IF(COUNTA(A44:H44,O44)=0,0,IF(OR(Listas!$B$19="Todos",A44=Listas!$B$19,A44=""),1,0))</x:f>
        <x:v>0</x:v>
      </x:c>
      <x:c r="T44" s="163" t="n">
        <x:f>IF(S44=1,COUNTIFS($S$5:S44,1),0)</x:f>
        <x:v>0</x:v>
      </x:c>
      <x:c r="U44" s="1"/>
      <x:c r="V44" s="1"/>
      <x:c r="W44" s="1"/>
    </x:row>
    <x:row r="45" ht="32" customHeight="1">
      <x:c r="A45" s="170"/>
      <x:c r="B45" s="170"/>
      <x:c r="C45" s="170"/>
      <x:c r="D45" s="170"/>
      <x:c r="E45" s="170"/>
      <x:c r="F45" s="171"/>
      <x:c r="G45" s="172"/>
      <x:c r="H45" s="170"/>
      <x:c r="I45" s="173" t="str">
        <x:f>IF(A45="","",IF(OR(P45&lt;&gt;"",COUNTIFS(Lotes!$B$5:$B$204,A45,Lotes!$U$5:$U$204,1)&gt;0,Listas!$B$13&lt;&gt;"OK"),"n.a.",SUMIFS(Lotes!$J$5:$J$204,Lotes!$B$5:$B$204,A45)))</x:f>
      </x:c>
      <x:c r="J45" s="174" t="str">
        <x:f>IF(A45="","",IF(OR(P45&lt;&gt;"",COUNTIFS(Lotes!$B$5:$B$204,A45,Lotes!$U$5:$U$204,1)&gt;0,Listas!$B$13&lt;&gt;"OK"),"n.a.",SUMIFS(Lotes!$L$5:$L$204,Lotes!$B$5:$B$204,A45)))</x:f>
      </x:c>
      <x:c r="K45" s="173" t="str">
        <x:f>IF(A45="","",IF(OR(P45&lt;&gt;"",COUNTIFS(Lotes!$B$5:$B$204,A45,Lotes!$U$5:$U$204,1)&gt;0,Listas!$B$13&lt;&gt;"OK"),"n.a.",COUNTIFS(Lotes!$B$5:$B$204,A45,Lotes!$J$5:$J$204,"&gt;0")))</x:f>
      </x:c>
      <x:c r="L45" s="173" t="str">
        <x:f>IF(A45="","",IF(OR(P45&lt;&gt;"",COUNTIFS(Lotes!$B$5:$B$204,A45,Lotes!$U$5:$U$204,1)&gt;0,Listas!$B$13&lt;&gt;"OK"),"n.a.",COUNTIFS(Lotes!$B$5:$B$204,A45,Lotes!$J$5:$J$204,"&gt;0",Lotes!$N$5:$N$204,"VENCIDO")))</x:f>
      </x:c>
      <x:c r="M45" s="173" t="str">
        <x:f>IF(A45="","",IF(OR(P45&lt;&gt;"",COUNTIFS(Lotes!$B$5:$B$204,A45,Lotes!$U$5:$U$204,1)&gt;0,Listas!$B$13&lt;&gt;"OK"),"n.a.",COUNTIFS(Lotes!$B$5:$B$204,A45,Lotes!$J$5:$J$204,"&gt;0",Lotes!$N$5:$N$204,"CRÍTICO")+COUNTIFS(Lotes!$B$5:$B$204,A45,Lotes!$J$5:$J$204,"&gt;0",Lotes!$N$5:$N$204,"VENCE NA JANELA")))</x:f>
      </x:c>
      <x:c r="N45" s="173" t="str">
        <x:f>IF(A45="","",IF(OR(P45&lt;&gt;"",COUNTIFS(Lotes!$B$5:$B$204,A45,Lotes!$U$5:$U$204,1)&gt;0,Listas!$B$13&lt;&gt;"OK"),"REVISAR DADOS",IF(H45="Inativo","INATIVO",IF(Q45&lt;=F45,"REPOR","OK"))))</x:f>
      </x:c>
      <x:c r="O45" s="27"/>
      <x:c r="P45" s="163" t="str">
        <x:f>IF(COUNTA(A45:H45,O45)=0,"",IF(OR(A45="",COUNTIFS($A$5:$A$204,A45)&lt;&gt;1),"SKU ausente ou duplicado",IF(OR(B45="",D45=""),"Produto ou unidade ausente",IF(OR(NOT(ISNUMBER(F45)),F45&lt;0,NOT(ISNUMBER(G45)),G45&lt;0),"Mínimo ou custo inválido",IF(AND(H45&lt;&gt;"Ativo",H45&lt;&gt;"Inativo"),"Status de produto inválido","")))))</x:f>
      </x:c>
      <x:c r="Q45" s="163" t="str">
        <x:f>IF(A45="","",IF(OR(P45&lt;&gt;"",COUNTIFS(Lotes!$B$5:$B$204,A45,Lotes!$U$5:$U$204,1)&gt;0,Listas!$B$13&lt;&gt;"OK"),"n.a.",SUMIFS(Lotes!$V$5:$V$204,Lotes!$B$5:$B$204,A45)))</x:f>
      </x:c>
      <x:c r="R45" s="163" t="n">
        <x:f>IF(P45="",0,1)</x:f>
        <x:v>0</x:v>
      </x:c>
      <x:c r="S45" s="163" t="n">
        <x:f>IF(COUNTA(A45:H45,O45)=0,0,IF(OR(Listas!$B$19="Todos",A45=Listas!$B$19,A45=""),1,0))</x:f>
        <x:v>0</x:v>
      </x:c>
      <x:c r="T45" s="163" t="n">
        <x:f>IF(S45=1,COUNTIFS($S$5:S45,1),0)</x:f>
        <x:v>0</x:v>
      </x:c>
      <x:c r="U45" s="1"/>
      <x:c r="V45" s="1"/>
      <x:c r="W45" s="1"/>
    </x:row>
    <x:row r="46" ht="32" customHeight="1">
      <x:c r="A46" s="170"/>
      <x:c r="B46" s="170"/>
      <x:c r="C46" s="170"/>
      <x:c r="D46" s="170"/>
      <x:c r="E46" s="170"/>
      <x:c r="F46" s="171"/>
      <x:c r="G46" s="172"/>
      <x:c r="H46" s="170"/>
      <x:c r="I46" s="173" t="str">
        <x:f>IF(A46="","",IF(OR(P46&lt;&gt;"",COUNTIFS(Lotes!$B$5:$B$204,A46,Lotes!$U$5:$U$204,1)&gt;0,Listas!$B$13&lt;&gt;"OK"),"n.a.",SUMIFS(Lotes!$J$5:$J$204,Lotes!$B$5:$B$204,A46)))</x:f>
      </x:c>
      <x:c r="J46" s="174" t="str">
        <x:f>IF(A46="","",IF(OR(P46&lt;&gt;"",COUNTIFS(Lotes!$B$5:$B$204,A46,Lotes!$U$5:$U$204,1)&gt;0,Listas!$B$13&lt;&gt;"OK"),"n.a.",SUMIFS(Lotes!$L$5:$L$204,Lotes!$B$5:$B$204,A46)))</x:f>
      </x:c>
      <x:c r="K46" s="173" t="str">
        <x:f>IF(A46="","",IF(OR(P46&lt;&gt;"",COUNTIFS(Lotes!$B$5:$B$204,A46,Lotes!$U$5:$U$204,1)&gt;0,Listas!$B$13&lt;&gt;"OK"),"n.a.",COUNTIFS(Lotes!$B$5:$B$204,A46,Lotes!$J$5:$J$204,"&gt;0")))</x:f>
      </x:c>
      <x:c r="L46" s="173" t="str">
        <x:f>IF(A46="","",IF(OR(P46&lt;&gt;"",COUNTIFS(Lotes!$B$5:$B$204,A46,Lotes!$U$5:$U$204,1)&gt;0,Listas!$B$13&lt;&gt;"OK"),"n.a.",COUNTIFS(Lotes!$B$5:$B$204,A46,Lotes!$J$5:$J$204,"&gt;0",Lotes!$N$5:$N$204,"VENCIDO")))</x:f>
      </x:c>
      <x:c r="M46" s="173" t="str">
        <x:f>IF(A46="","",IF(OR(P46&lt;&gt;"",COUNTIFS(Lotes!$B$5:$B$204,A46,Lotes!$U$5:$U$204,1)&gt;0,Listas!$B$13&lt;&gt;"OK"),"n.a.",COUNTIFS(Lotes!$B$5:$B$204,A46,Lotes!$J$5:$J$204,"&gt;0",Lotes!$N$5:$N$204,"CRÍTICO")+COUNTIFS(Lotes!$B$5:$B$204,A46,Lotes!$J$5:$J$204,"&gt;0",Lotes!$N$5:$N$204,"VENCE NA JANELA")))</x:f>
      </x:c>
      <x:c r="N46" s="173" t="str">
        <x:f>IF(A46="","",IF(OR(P46&lt;&gt;"",COUNTIFS(Lotes!$B$5:$B$204,A46,Lotes!$U$5:$U$204,1)&gt;0,Listas!$B$13&lt;&gt;"OK"),"REVISAR DADOS",IF(H46="Inativo","INATIVO",IF(Q46&lt;=F46,"REPOR","OK"))))</x:f>
      </x:c>
      <x:c r="O46" s="27"/>
      <x:c r="P46" s="163" t="str">
        <x:f>IF(COUNTA(A46:H46,O46)=0,"",IF(OR(A46="",COUNTIFS($A$5:$A$204,A46)&lt;&gt;1),"SKU ausente ou duplicado",IF(OR(B46="",D46=""),"Produto ou unidade ausente",IF(OR(NOT(ISNUMBER(F46)),F46&lt;0,NOT(ISNUMBER(G46)),G46&lt;0),"Mínimo ou custo inválido",IF(AND(H46&lt;&gt;"Ativo",H46&lt;&gt;"Inativo"),"Status de produto inválido","")))))</x:f>
      </x:c>
      <x:c r="Q46" s="163" t="str">
        <x:f>IF(A46="","",IF(OR(P46&lt;&gt;"",COUNTIFS(Lotes!$B$5:$B$204,A46,Lotes!$U$5:$U$204,1)&gt;0,Listas!$B$13&lt;&gt;"OK"),"n.a.",SUMIFS(Lotes!$V$5:$V$204,Lotes!$B$5:$B$204,A46)))</x:f>
      </x:c>
      <x:c r="R46" s="163" t="n">
        <x:f>IF(P46="",0,1)</x:f>
        <x:v>0</x:v>
      </x:c>
      <x:c r="S46" s="163" t="n">
        <x:f>IF(COUNTA(A46:H46,O46)=0,0,IF(OR(Listas!$B$19="Todos",A46=Listas!$B$19,A46=""),1,0))</x:f>
        <x:v>0</x:v>
      </x:c>
      <x:c r="T46" s="163" t="n">
        <x:f>IF(S46=1,COUNTIFS($S$5:S46,1),0)</x:f>
        <x:v>0</x:v>
      </x:c>
      <x:c r="U46" s="1"/>
      <x:c r="V46" s="1"/>
      <x:c r="W46" s="1"/>
    </x:row>
    <x:row r="47" ht="32" customHeight="1">
      <x:c r="A47" s="170"/>
      <x:c r="B47" s="170"/>
      <x:c r="C47" s="170"/>
      <x:c r="D47" s="170"/>
      <x:c r="E47" s="170"/>
      <x:c r="F47" s="171"/>
      <x:c r="G47" s="172"/>
      <x:c r="H47" s="170"/>
      <x:c r="I47" s="173" t="str">
        <x:f>IF(A47="","",IF(OR(P47&lt;&gt;"",COUNTIFS(Lotes!$B$5:$B$204,A47,Lotes!$U$5:$U$204,1)&gt;0,Listas!$B$13&lt;&gt;"OK"),"n.a.",SUMIFS(Lotes!$J$5:$J$204,Lotes!$B$5:$B$204,A47)))</x:f>
      </x:c>
      <x:c r="J47" s="174" t="str">
        <x:f>IF(A47="","",IF(OR(P47&lt;&gt;"",COUNTIFS(Lotes!$B$5:$B$204,A47,Lotes!$U$5:$U$204,1)&gt;0,Listas!$B$13&lt;&gt;"OK"),"n.a.",SUMIFS(Lotes!$L$5:$L$204,Lotes!$B$5:$B$204,A47)))</x:f>
      </x:c>
      <x:c r="K47" s="173" t="str">
        <x:f>IF(A47="","",IF(OR(P47&lt;&gt;"",COUNTIFS(Lotes!$B$5:$B$204,A47,Lotes!$U$5:$U$204,1)&gt;0,Listas!$B$13&lt;&gt;"OK"),"n.a.",COUNTIFS(Lotes!$B$5:$B$204,A47,Lotes!$J$5:$J$204,"&gt;0")))</x:f>
      </x:c>
      <x:c r="L47" s="173" t="str">
        <x:f>IF(A47="","",IF(OR(P47&lt;&gt;"",COUNTIFS(Lotes!$B$5:$B$204,A47,Lotes!$U$5:$U$204,1)&gt;0,Listas!$B$13&lt;&gt;"OK"),"n.a.",COUNTIFS(Lotes!$B$5:$B$204,A47,Lotes!$J$5:$J$204,"&gt;0",Lotes!$N$5:$N$204,"VENCIDO")))</x:f>
      </x:c>
      <x:c r="M47" s="173" t="str">
        <x:f>IF(A47="","",IF(OR(P47&lt;&gt;"",COUNTIFS(Lotes!$B$5:$B$204,A47,Lotes!$U$5:$U$204,1)&gt;0,Listas!$B$13&lt;&gt;"OK"),"n.a.",COUNTIFS(Lotes!$B$5:$B$204,A47,Lotes!$J$5:$J$204,"&gt;0",Lotes!$N$5:$N$204,"CRÍTICO")+COUNTIFS(Lotes!$B$5:$B$204,A47,Lotes!$J$5:$J$204,"&gt;0",Lotes!$N$5:$N$204,"VENCE NA JANELA")))</x:f>
      </x:c>
      <x:c r="N47" s="173" t="str">
        <x:f>IF(A47="","",IF(OR(P47&lt;&gt;"",COUNTIFS(Lotes!$B$5:$B$204,A47,Lotes!$U$5:$U$204,1)&gt;0,Listas!$B$13&lt;&gt;"OK"),"REVISAR DADOS",IF(H47="Inativo","INATIVO",IF(Q47&lt;=F47,"REPOR","OK"))))</x:f>
      </x:c>
      <x:c r="O47" s="27"/>
      <x:c r="P47" s="163" t="str">
        <x:f>IF(COUNTA(A47:H47,O47)=0,"",IF(OR(A47="",COUNTIFS($A$5:$A$204,A47)&lt;&gt;1),"SKU ausente ou duplicado",IF(OR(B47="",D47=""),"Produto ou unidade ausente",IF(OR(NOT(ISNUMBER(F47)),F47&lt;0,NOT(ISNUMBER(G47)),G47&lt;0),"Mínimo ou custo inválido",IF(AND(H47&lt;&gt;"Ativo",H47&lt;&gt;"Inativo"),"Status de produto inválido","")))))</x:f>
      </x:c>
      <x:c r="Q47" s="163" t="str">
        <x:f>IF(A47="","",IF(OR(P47&lt;&gt;"",COUNTIFS(Lotes!$B$5:$B$204,A47,Lotes!$U$5:$U$204,1)&gt;0,Listas!$B$13&lt;&gt;"OK"),"n.a.",SUMIFS(Lotes!$V$5:$V$204,Lotes!$B$5:$B$204,A47)))</x:f>
      </x:c>
      <x:c r="R47" s="163" t="n">
        <x:f>IF(P47="",0,1)</x:f>
        <x:v>0</x:v>
      </x:c>
      <x:c r="S47" s="163" t="n">
        <x:f>IF(COUNTA(A47:H47,O47)=0,0,IF(OR(Listas!$B$19="Todos",A47=Listas!$B$19,A47=""),1,0))</x:f>
        <x:v>0</x:v>
      </x:c>
      <x:c r="T47" s="163" t="n">
        <x:f>IF(S47=1,COUNTIFS($S$5:S47,1),0)</x:f>
        <x:v>0</x:v>
      </x:c>
      <x:c r="U47" s="1"/>
      <x:c r="V47" s="1"/>
      <x:c r="W47" s="1"/>
    </x:row>
    <x:row r="48" ht="32" customHeight="1">
      <x:c r="A48" s="170"/>
      <x:c r="B48" s="170"/>
      <x:c r="C48" s="170"/>
      <x:c r="D48" s="170"/>
      <x:c r="E48" s="170"/>
      <x:c r="F48" s="171"/>
      <x:c r="G48" s="172"/>
      <x:c r="H48" s="170"/>
      <x:c r="I48" s="173" t="str">
        <x:f>IF(A48="","",IF(OR(P48&lt;&gt;"",COUNTIFS(Lotes!$B$5:$B$204,A48,Lotes!$U$5:$U$204,1)&gt;0,Listas!$B$13&lt;&gt;"OK"),"n.a.",SUMIFS(Lotes!$J$5:$J$204,Lotes!$B$5:$B$204,A48)))</x:f>
      </x:c>
      <x:c r="J48" s="174" t="str">
        <x:f>IF(A48="","",IF(OR(P48&lt;&gt;"",COUNTIFS(Lotes!$B$5:$B$204,A48,Lotes!$U$5:$U$204,1)&gt;0,Listas!$B$13&lt;&gt;"OK"),"n.a.",SUMIFS(Lotes!$L$5:$L$204,Lotes!$B$5:$B$204,A48)))</x:f>
      </x:c>
      <x:c r="K48" s="173" t="str">
        <x:f>IF(A48="","",IF(OR(P48&lt;&gt;"",COUNTIFS(Lotes!$B$5:$B$204,A48,Lotes!$U$5:$U$204,1)&gt;0,Listas!$B$13&lt;&gt;"OK"),"n.a.",COUNTIFS(Lotes!$B$5:$B$204,A48,Lotes!$J$5:$J$204,"&gt;0")))</x:f>
      </x:c>
      <x:c r="L48" s="173" t="str">
        <x:f>IF(A48="","",IF(OR(P48&lt;&gt;"",COUNTIFS(Lotes!$B$5:$B$204,A48,Lotes!$U$5:$U$204,1)&gt;0,Listas!$B$13&lt;&gt;"OK"),"n.a.",COUNTIFS(Lotes!$B$5:$B$204,A48,Lotes!$J$5:$J$204,"&gt;0",Lotes!$N$5:$N$204,"VENCIDO")))</x:f>
      </x:c>
      <x:c r="M48" s="173" t="str">
        <x:f>IF(A48="","",IF(OR(P48&lt;&gt;"",COUNTIFS(Lotes!$B$5:$B$204,A48,Lotes!$U$5:$U$204,1)&gt;0,Listas!$B$13&lt;&gt;"OK"),"n.a.",COUNTIFS(Lotes!$B$5:$B$204,A48,Lotes!$J$5:$J$204,"&gt;0",Lotes!$N$5:$N$204,"CRÍTICO")+COUNTIFS(Lotes!$B$5:$B$204,A48,Lotes!$J$5:$J$204,"&gt;0",Lotes!$N$5:$N$204,"VENCE NA JANELA")))</x:f>
      </x:c>
      <x:c r="N48" s="173" t="str">
        <x:f>IF(A48="","",IF(OR(P48&lt;&gt;"",COUNTIFS(Lotes!$B$5:$B$204,A48,Lotes!$U$5:$U$204,1)&gt;0,Listas!$B$13&lt;&gt;"OK"),"REVISAR DADOS",IF(H48="Inativo","INATIVO",IF(Q48&lt;=F48,"REPOR","OK"))))</x:f>
      </x:c>
      <x:c r="O48" s="27"/>
      <x:c r="P48" s="163" t="str">
        <x:f>IF(COUNTA(A48:H48,O48)=0,"",IF(OR(A48="",COUNTIFS($A$5:$A$204,A48)&lt;&gt;1),"SKU ausente ou duplicado",IF(OR(B48="",D48=""),"Produto ou unidade ausente",IF(OR(NOT(ISNUMBER(F48)),F48&lt;0,NOT(ISNUMBER(G48)),G48&lt;0),"Mínimo ou custo inválido",IF(AND(H48&lt;&gt;"Ativo",H48&lt;&gt;"Inativo"),"Status de produto inválido","")))))</x:f>
      </x:c>
      <x:c r="Q48" s="163" t="str">
        <x:f>IF(A48="","",IF(OR(P48&lt;&gt;"",COUNTIFS(Lotes!$B$5:$B$204,A48,Lotes!$U$5:$U$204,1)&gt;0,Listas!$B$13&lt;&gt;"OK"),"n.a.",SUMIFS(Lotes!$V$5:$V$204,Lotes!$B$5:$B$204,A48)))</x:f>
      </x:c>
      <x:c r="R48" s="163" t="n">
        <x:f>IF(P48="",0,1)</x:f>
        <x:v>0</x:v>
      </x:c>
      <x:c r="S48" s="163" t="n">
        <x:f>IF(COUNTA(A48:H48,O48)=0,0,IF(OR(Listas!$B$19="Todos",A48=Listas!$B$19,A48=""),1,0))</x:f>
        <x:v>0</x:v>
      </x:c>
      <x:c r="T48" s="163" t="n">
        <x:f>IF(S48=1,COUNTIFS($S$5:S48,1),0)</x:f>
        <x:v>0</x:v>
      </x:c>
      <x:c r="U48" s="1"/>
      <x:c r="V48" s="1"/>
      <x:c r="W48" s="1"/>
    </x:row>
    <x:row r="49" ht="32" customHeight="1">
      <x:c r="A49" s="170"/>
      <x:c r="B49" s="170"/>
      <x:c r="C49" s="170"/>
      <x:c r="D49" s="170"/>
      <x:c r="E49" s="170"/>
      <x:c r="F49" s="171"/>
      <x:c r="G49" s="172"/>
      <x:c r="H49" s="170"/>
      <x:c r="I49" s="173" t="str">
        <x:f>IF(A49="","",IF(OR(P49&lt;&gt;"",COUNTIFS(Lotes!$B$5:$B$204,A49,Lotes!$U$5:$U$204,1)&gt;0,Listas!$B$13&lt;&gt;"OK"),"n.a.",SUMIFS(Lotes!$J$5:$J$204,Lotes!$B$5:$B$204,A49)))</x:f>
      </x:c>
      <x:c r="J49" s="174" t="str">
        <x:f>IF(A49="","",IF(OR(P49&lt;&gt;"",COUNTIFS(Lotes!$B$5:$B$204,A49,Lotes!$U$5:$U$204,1)&gt;0,Listas!$B$13&lt;&gt;"OK"),"n.a.",SUMIFS(Lotes!$L$5:$L$204,Lotes!$B$5:$B$204,A49)))</x:f>
      </x:c>
      <x:c r="K49" s="173" t="str">
        <x:f>IF(A49="","",IF(OR(P49&lt;&gt;"",COUNTIFS(Lotes!$B$5:$B$204,A49,Lotes!$U$5:$U$204,1)&gt;0,Listas!$B$13&lt;&gt;"OK"),"n.a.",COUNTIFS(Lotes!$B$5:$B$204,A49,Lotes!$J$5:$J$204,"&gt;0")))</x:f>
      </x:c>
      <x:c r="L49" s="173" t="str">
        <x:f>IF(A49="","",IF(OR(P49&lt;&gt;"",COUNTIFS(Lotes!$B$5:$B$204,A49,Lotes!$U$5:$U$204,1)&gt;0,Listas!$B$13&lt;&gt;"OK"),"n.a.",COUNTIFS(Lotes!$B$5:$B$204,A49,Lotes!$J$5:$J$204,"&gt;0",Lotes!$N$5:$N$204,"VENCIDO")))</x:f>
      </x:c>
      <x:c r="M49" s="173" t="str">
        <x:f>IF(A49="","",IF(OR(P49&lt;&gt;"",COUNTIFS(Lotes!$B$5:$B$204,A49,Lotes!$U$5:$U$204,1)&gt;0,Listas!$B$13&lt;&gt;"OK"),"n.a.",COUNTIFS(Lotes!$B$5:$B$204,A49,Lotes!$J$5:$J$204,"&gt;0",Lotes!$N$5:$N$204,"CRÍTICO")+COUNTIFS(Lotes!$B$5:$B$204,A49,Lotes!$J$5:$J$204,"&gt;0",Lotes!$N$5:$N$204,"VENCE NA JANELA")))</x:f>
      </x:c>
      <x:c r="N49" s="173" t="str">
        <x:f>IF(A49="","",IF(OR(P49&lt;&gt;"",COUNTIFS(Lotes!$B$5:$B$204,A49,Lotes!$U$5:$U$204,1)&gt;0,Listas!$B$13&lt;&gt;"OK"),"REVISAR DADOS",IF(H49="Inativo","INATIVO",IF(Q49&lt;=F49,"REPOR","OK"))))</x:f>
      </x:c>
      <x:c r="O49" s="27"/>
      <x:c r="P49" s="163" t="str">
        <x:f>IF(COUNTA(A49:H49,O49)=0,"",IF(OR(A49="",COUNTIFS($A$5:$A$204,A49)&lt;&gt;1),"SKU ausente ou duplicado",IF(OR(B49="",D49=""),"Produto ou unidade ausente",IF(OR(NOT(ISNUMBER(F49)),F49&lt;0,NOT(ISNUMBER(G49)),G49&lt;0),"Mínimo ou custo inválido",IF(AND(H49&lt;&gt;"Ativo",H49&lt;&gt;"Inativo"),"Status de produto inválido","")))))</x:f>
      </x:c>
      <x:c r="Q49" s="163" t="str">
        <x:f>IF(A49="","",IF(OR(P49&lt;&gt;"",COUNTIFS(Lotes!$B$5:$B$204,A49,Lotes!$U$5:$U$204,1)&gt;0,Listas!$B$13&lt;&gt;"OK"),"n.a.",SUMIFS(Lotes!$V$5:$V$204,Lotes!$B$5:$B$204,A49)))</x:f>
      </x:c>
      <x:c r="R49" s="163" t="n">
        <x:f>IF(P49="",0,1)</x:f>
        <x:v>0</x:v>
      </x:c>
      <x:c r="S49" s="163" t="n">
        <x:f>IF(COUNTA(A49:H49,O49)=0,0,IF(OR(Listas!$B$19="Todos",A49=Listas!$B$19,A49=""),1,0))</x:f>
        <x:v>0</x:v>
      </x:c>
      <x:c r="T49" s="163" t="n">
        <x:f>IF(S49=1,COUNTIFS($S$5:S49,1),0)</x:f>
        <x:v>0</x:v>
      </x:c>
      <x:c r="U49" s="1"/>
      <x:c r="V49" s="1"/>
      <x:c r="W49" s="1"/>
    </x:row>
    <x:row r="50" ht="32" customHeight="1">
      <x:c r="A50" s="170"/>
      <x:c r="B50" s="170"/>
      <x:c r="C50" s="170"/>
      <x:c r="D50" s="170"/>
      <x:c r="E50" s="170"/>
      <x:c r="F50" s="171"/>
      <x:c r="G50" s="172"/>
      <x:c r="H50" s="170"/>
      <x:c r="I50" s="173" t="str">
        <x:f>IF(A50="","",IF(OR(P50&lt;&gt;"",COUNTIFS(Lotes!$B$5:$B$204,A50,Lotes!$U$5:$U$204,1)&gt;0,Listas!$B$13&lt;&gt;"OK"),"n.a.",SUMIFS(Lotes!$J$5:$J$204,Lotes!$B$5:$B$204,A50)))</x:f>
      </x:c>
      <x:c r="J50" s="174" t="str">
        <x:f>IF(A50="","",IF(OR(P50&lt;&gt;"",COUNTIFS(Lotes!$B$5:$B$204,A50,Lotes!$U$5:$U$204,1)&gt;0,Listas!$B$13&lt;&gt;"OK"),"n.a.",SUMIFS(Lotes!$L$5:$L$204,Lotes!$B$5:$B$204,A50)))</x:f>
      </x:c>
      <x:c r="K50" s="173" t="str">
        <x:f>IF(A50="","",IF(OR(P50&lt;&gt;"",COUNTIFS(Lotes!$B$5:$B$204,A50,Lotes!$U$5:$U$204,1)&gt;0,Listas!$B$13&lt;&gt;"OK"),"n.a.",COUNTIFS(Lotes!$B$5:$B$204,A50,Lotes!$J$5:$J$204,"&gt;0")))</x:f>
      </x:c>
      <x:c r="L50" s="173" t="str">
        <x:f>IF(A50="","",IF(OR(P50&lt;&gt;"",COUNTIFS(Lotes!$B$5:$B$204,A50,Lotes!$U$5:$U$204,1)&gt;0,Listas!$B$13&lt;&gt;"OK"),"n.a.",COUNTIFS(Lotes!$B$5:$B$204,A50,Lotes!$J$5:$J$204,"&gt;0",Lotes!$N$5:$N$204,"VENCIDO")))</x:f>
      </x:c>
      <x:c r="M50" s="173" t="str">
        <x:f>IF(A50="","",IF(OR(P50&lt;&gt;"",COUNTIFS(Lotes!$B$5:$B$204,A50,Lotes!$U$5:$U$204,1)&gt;0,Listas!$B$13&lt;&gt;"OK"),"n.a.",COUNTIFS(Lotes!$B$5:$B$204,A50,Lotes!$J$5:$J$204,"&gt;0",Lotes!$N$5:$N$204,"CRÍTICO")+COUNTIFS(Lotes!$B$5:$B$204,A50,Lotes!$J$5:$J$204,"&gt;0",Lotes!$N$5:$N$204,"VENCE NA JANELA")))</x:f>
      </x:c>
      <x:c r="N50" s="173" t="str">
        <x:f>IF(A50="","",IF(OR(P50&lt;&gt;"",COUNTIFS(Lotes!$B$5:$B$204,A50,Lotes!$U$5:$U$204,1)&gt;0,Listas!$B$13&lt;&gt;"OK"),"REVISAR DADOS",IF(H50="Inativo","INATIVO",IF(Q50&lt;=F50,"REPOR","OK"))))</x:f>
      </x:c>
      <x:c r="O50" s="27"/>
      <x:c r="P50" s="163" t="str">
        <x:f>IF(COUNTA(A50:H50,O50)=0,"",IF(OR(A50="",COUNTIFS($A$5:$A$204,A50)&lt;&gt;1),"SKU ausente ou duplicado",IF(OR(B50="",D50=""),"Produto ou unidade ausente",IF(OR(NOT(ISNUMBER(F50)),F50&lt;0,NOT(ISNUMBER(G50)),G50&lt;0),"Mínimo ou custo inválido",IF(AND(H50&lt;&gt;"Ativo",H50&lt;&gt;"Inativo"),"Status de produto inválido","")))))</x:f>
      </x:c>
      <x:c r="Q50" s="163" t="str">
        <x:f>IF(A50="","",IF(OR(P50&lt;&gt;"",COUNTIFS(Lotes!$B$5:$B$204,A50,Lotes!$U$5:$U$204,1)&gt;0,Listas!$B$13&lt;&gt;"OK"),"n.a.",SUMIFS(Lotes!$V$5:$V$204,Lotes!$B$5:$B$204,A50)))</x:f>
      </x:c>
      <x:c r="R50" s="163" t="n">
        <x:f>IF(P50="",0,1)</x:f>
        <x:v>0</x:v>
      </x:c>
      <x:c r="S50" s="163" t="n">
        <x:f>IF(COUNTA(A50:H50,O50)=0,0,IF(OR(Listas!$B$19="Todos",A50=Listas!$B$19,A50=""),1,0))</x:f>
        <x:v>0</x:v>
      </x:c>
      <x:c r="T50" s="163" t="n">
        <x:f>IF(S50=1,COUNTIFS($S$5:S50,1),0)</x:f>
        <x:v>0</x:v>
      </x:c>
      <x:c r="U50" s="1"/>
      <x:c r="V50" s="1"/>
      <x:c r="W50" s="1"/>
    </x:row>
    <x:row r="51" ht="32" customHeight="1">
      <x:c r="A51" s="170"/>
      <x:c r="B51" s="170"/>
      <x:c r="C51" s="170"/>
      <x:c r="D51" s="170"/>
      <x:c r="E51" s="170"/>
      <x:c r="F51" s="171"/>
      <x:c r="G51" s="172"/>
      <x:c r="H51" s="170"/>
      <x:c r="I51" s="173" t="str">
        <x:f>IF(A51="","",IF(OR(P51&lt;&gt;"",COUNTIFS(Lotes!$B$5:$B$204,A51,Lotes!$U$5:$U$204,1)&gt;0,Listas!$B$13&lt;&gt;"OK"),"n.a.",SUMIFS(Lotes!$J$5:$J$204,Lotes!$B$5:$B$204,A51)))</x:f>
      </x:c>
      <x:c r="J51" s="174" t="str">
        <x:f>IF(A51="","",IF(OR(P51&lt;&gt;"",COUNTIFS(Lotes!$B$5:$B$204,A51,Lotes!$U$5:$U$204,1)&gt;0,Listas!$B$13&lt;&gt;"OK"),"n.a.",SUMIFS(Lotes!$L$5:$L$204,Lotes!$B$5:$B$204,A51)))</x:f>
      </x:c>
      <x:c r="K51" s="173" t="str">
        <x:f>IF(A51="","",IF(OR(P51&lt;&gt;"",COUNTIFS(Lotes!$B$5:$B$204,A51,Lotes!$U$5:$U$204,1)&gt;0,Listas!$B$13&lt;&gt;"OK"),"n.a.",COUNTIFS(Lotes!$B$5:$B$204,A51,Lotes!$J$5:$J$204,"&gt;0")))</x:f>
      </x:c>
      <x:c r="L51" s="173" t="str">
        <x:f>IF(A51="","",IF(OR(P51&lt;&gt;"",COUNTIFS(Lotes!$B$5:$B$204,A51,Lotes!$U$5:$U$204,1)&gt;0,Listas!$B$13&lt;&gt;"OK"),"n.a.",COUNTIFS(Lotes!$B$5:$B$204,A51,Lotes!$J$5:$J$204,"&gt;0",Lotes!$N$5:$N$204,"VENCIDO")))</x:f>
      </x:c>
      <x:c r="M51" s="173" t="str">
        <x:f>IF(A51="","",IF(OR(P51&lt;&gt;"",COUNTIFS(Lotes!$B$5:$B$204,A51,Lotes!$U$5:$U$204,1)&gt;0,Listas!$B$13&lt;&gt;"OK"),"n.a.",COUNTIFS(Lotes!$B$5:$B$204,A51,Lotes!$J$5:$J$204,"&gt;0",Lotes!$N$5:$N$204,"CRÍTICO")+COUNTIFS(Lotes!$B$5:$B$204,A51,Lotes!$J$5:$J$204,"&gt;0",Lotes!$N$5:$N$204,"VENCE NA JANELA")))</x:f>
      </x:c>
      <x:c r="N51" s="173" t="str">
        <x:f>IF(A51="","",IF(OR(P51&lt;&gt;"",COUNTIFS(Lotes!$B$5:$B$204,A51,Lotes!$U$5:$U$204,1)&gt;0,Listas!$B$13&lt;&gt;"OK"),"REVISAR DADOS",IF(H51="Inativo","INATIVO",IF(Q51&lt;=F51,"REPOR","OK"))))</x:f>
      </x:c>
      <x:c r="O51" s="27"/>
      <x:c r="P51" s="163" t="str">
        <x:f>IF(COUNTA(A51:H51,O51)=0,"",IF(OR(A51="",COUNTIFS($A$5:$A$204,A51)&lt;&gt;1),"SKU ausente ou duplicado",IF(OR(B51="",D51=""),"Produto ou unidade ausente",IF(OR(NOT(ISNUMBER(F51)),F51&lt;0,NOT(ISNUMBER(G51)),G51&lt;0),"Mínimo ou custo inválido",IF(AND(H51&lt;&gt;"Ativo",H51&lt;&gt;"Inativo"),"Status de produto inválido","")))))</x:f>
      </x:c>
      <x:c r="Q51" s="163" t="str">
        <x:f>IF(A51="","",IF(OR(P51&lt;&gt;"",COUNTIFS(Lotes!$B$5:$B$204,A51,Lotes!$U$5:$U$204,1)&gt;0,Listas!$B$13&lt;&gt;"OK"),"n.a.",SUMIFS(Lotes!$V$5:$V$204,Lotes!$B$5:$B$204,A51)))</x:f>
      </x:c>
      <x:c r="R51" s="163" t="n">
        <x:f>IF(P51="",0,1)</x:f>
        <x:v>0</x:v>
      </x:c>
      <x:c r="S51" s="163" t="n">
        <x:f>IF(COUNTA(A51:H51,O51)=0,0,IF(OR(Listas!$B$19="Todos",A51=Listas!$B$19,A51=""),1,0))</x:f>
        <x:v>0</x:v>
      </x:c>
      <x:c r="T51" s="163" t="n">
        <x:f>IF(S51=1,COUNTIFS($S$5:S51,1),0)</x:f>
        <x:v>0</x:v>
      </x:c>
      <x:c r="U51" s="1"/>
      <x:c r="V51" s="1"/>
      <x:c r="W51" s="1"/>
    </x:row>
    <x:row r="52" ht="32" customHeight="1">
      <x:c r="A52" s="170"/>
      <x:c r="B52" s="170"/>
      <x:c r="C52" s="170"/>
      <x:c r="D52" s="170"/>
      <x:c r="E52" s="170"/>
      <x:c r="F52" s="171"/>
      <x:c r="G52" s="172"/>
      <x:c r="H52" s="170"/>
      <x:c r="I52" s="173" t="str">
        <x:f>IF(A52="","",IF(OR(P52&lt;&gt;"",COUNTIFS(Lotes!$B$5:$B$204,A52,Lotes!$U$5:$U$204,1)&gt;0,Listas!$B$13&lt;&gt;"OK"),"n.a.",SUMIFS(Lotes!$J$5:$J$204,Lotes!$B$5:$B$204,A52)))</x:f>
      </x:c>
      <x:c r="J52" s="174" t="str">
        <x:f>IF(A52="","",IF(OR(P52&lt;&gt;"",COUNTIFS(Lotes!$B$5:$B$204,A52,Lotes!$U$5:$U$204,1)&gt;0,Listas!$B$13&lt;&gt;"OK"),"n.a.",SUMIFS(Lotes!$L$5:$L$204,Lotes!$B$5:$B$204,A52)))</x:f>
      </x:c>
      <x:c r="K52" s="173" t="str">
        <x:f>IF(A52="","",IF(OR(P52&lt;&gt;"",COUNTIFS(Lotes!$B$5:$B$204,A52,Lotes!$U$5:$U$204,1)&gt;0,Listas!$B$13&lt;&gt;"OK"),"n.a.",COUNTIFS(Lotes!$B$5:$B$204,A52,Lotes!$J$5:$J$204,"&gt;0")))</x:f>
      </x:c>
      <x:c r="L52" s="173" t="str">
        <x:f>IF(A52="","",IF(OR(P52&lt;&gt;"",COUNTIFS(Lotes!$B$5:$B$204,A52,Lotes!$U$5:$U$204,1)&gt;0,Listas!$B$13&lt;&gt;"OK"),"n.a.",COUNTIFS(Lotes!$B$5:$B$204,A52,Lotes!$J$5:$J$204,"&gt;0",Lotes!$N$5:$N$204,"VENCIDO")))</x:f>
      </x:c>
      <x:c r="M52" s="173" t="str">
        <x:f>IF(A52="","",IF(OR(P52&lt;&gt;"",COUNTIFS(Lotes!$B$5:$B$204,A52,Lotes!$U$5:$U$204,1)&gt;0,Listas!$B$13&lt;&gt;"OK"),"n.a.",COUNTIFS(Lotes!$B$5:$B$204,A52,Lotes!$J$5:$J$204,"&gt;0",Lotes!$N$5:$N$204,"CRÍTICO")+COUNTIFS(Lotes!$B$5:$B$204,A52,Lotes!$J$5:$J$204,"&gt;0",Lotes!$N$5:$N$204,"VENCE NA JANELA")))</x:f>
      </x:c>
      <x:c r="N52" s="173" t="str">
        <x:f>IF(A52="","",IF(OR(P52&lt;&gt;"",COUNTIFS(Lotes!$B$5:$B$204,A52,Lotes!$U$5:$U$204,1)&gt;0,Listas!$B$13&lt;&gt;"OK"),"REVISAR DADOS",IF(H52="Inativo","INATIVO",IF(Q52&lt;=F52,"REPOR","OK"))))</x:f>
      </x:c>
      <x:c r="O52" s="27"/>
      <x:c r="P52" s="163" t="str">
        <x:f>IF(COUNTA(A52:H52,O52)=0,"",IF(OR(A52="",COUNTIFS($A$5:$A$204,A52)&lt;&gt;1),"SKU ausente ou duplicado",IF(OR(B52="",D52=""),"Produto ou unidade ausente",IF(OR(NOT(ISNUMBER(F52)),F52&lt;0,NOT(ISNUMBER(G52)),G52&lt;0),"Mínimo ou custo inválido",IF(AND(H52&lt;&gt;"Ativo",H52&lt;&gt;"Inativo"),"Status de produto inválido","")))))</x:f>
      </x:c>
      <x:c r="Q52" s="163" t="str">
        <x:f>IF(A52="","",IF(OR(P52&lt;&gt;"",COUNTIFS(Lotes!$B$5:$B$204,A52,Lotes!$U$5:$U$204,1)&gt;0,Listas!$B$13&lt;&gt;"OK"),"n.a.",SUMIFS(Lotes!$V$5:$V$204,Lotes!$B$5:$B$204,A52)))</x:f>
      </x:c>
      <x:c r="R52" s="163" t="n">
        <x:f>IF(P52="",0,1)</x:f>
        <x:v>0</x:v>
      </x:c>
      <x:c r="S52" s="163" t="n">
        <x:f>IF(COUNTA(A52:H52,O52)=0,0,IF(OR(Listas!$B$19="Todos",A52=Listas!$B$19,A52=""),1,0))</x:f>
        <x:v>0</x:v>
      </x:c>
      <x:c r="T52" s="163" t="n">
        <x:f>IF(S52=1,COUNTIFS($S$5:S52,1),0)</x:f>
        <x:v>0</x:v>
      </x:c>
      <x:c r="U52" s="1"/>
      <x:c r="V52" s="1"/>
      <x:c r="W52" s="1"/>
    </x:row>
    <x:row r="53" ht="32" customHeight="1">
      <x:c r="A53" s="170"/>
      <x:c r="B53" s="170"/>
      <x:c r="C53" s="170"/>
      <x:c r="D53" s="170"/>
      <x:c r="E53" s="170"/>
      <x:c r="F53" s="171"/>
      <x:c r="G53" s="172"/>
      <x:c r="H53" s="170"/>
      <x:c r="I53" s="173" t="str">
        <x:f>IF(A53="","",IF(OR(P53&lt;&gt;"",COUNTIFS(Lotes!$B$5:$B$204,A53,Lotes!$U$5:$U$204,1)&gt;0,Listas!$B$13&lt;&gt;"OK"),"n.a.",SUMIFS(Lotes!$J$5:$J$204,Lotes!$B$5:$B$204,A53)))</x:f>
      </x:c>
      <x:c r="J53" s="174" t="str">
        <x:f>IF(A53="","",IF(OR(P53&lt;&gt;"",COUNTIFS(Lotes!$B$5:$B$204,A53,Lotes!$U$5:$U$204,1)&gt;0,Listas!$B$13&lt;&gt;"OK"),"n.a.",SUMIFS(Lotes!$L$5:$L$204,Lotes!$B$5:$B$204,A53)))</x:f>
      </x:c>
      <x:c r="K53" s="173" t="str">
        <x:f>IF(A53="","",IF(OR(P53&lt;&gt;"",COUNTIFS(Lotes!$B$5:$B$204,A53,Lotes!$U$5:$U$204,1)&gt;0,Listas!$B$13&lt;&gt;"OK"),"n.a.",COUNTIFS(Lotes!$B$5:$B$204,A53,Lotes!$J$5:$J$204,"&gt;0")))</x:f>
      </x:c>
      <x:c r="L53" s="173" t="str">
        <x:f>IF(A53="","",IF(OR(P53&lt;&gt;"",COUNTIFS(Lotes!$B$5:$B$204,A53,Lotes!$U$5:$U$204,1)&gt;0,Listas!$B$13&lt;&gt;"OK"),"n.a.",COUNTIFS(Lotes!$B$5:$B$204,A53,Lotes!$J$5:$J$204,"&gt;0",Lotes!$N$5:$N$204,"VENCIDO")))</x:f>
      </x:c>
      <x:c r="M53" s="173" t="str">
        <x:f>IF(A53="","",IF(OR(P53&lt;&gt;"",COUNTIFS(Lotes!$B$5:$B$204,A53,Lotes!$U$5:$U$204,1)&gt;0,Listas!$B$13&lt;&gt;"OK"),"n.a.",COUNTIFS(Lotes!$B$5:$B$204,A53,Lotes!$J$5:$J$204,"&gt;0",Lotes!$N$5:$N$204,"CRÍTICO")+COUNTIFS(Lotes!$B$5:$B$204,A53,Lotes!$J$5:$J$204,"&gt;0",Lotes!$N$5:$N$204,"VENCE NA JANELA")))</x:f>
      </x:c>
      <x:c r="N53" s="173" t="str">
        <x:f>IF(A53="","",IF(OR(P53&lt;&gt;"",COUNTIFS(Lotes!$B$5:$B$204,A53,Lotes!$U$5:$U$204,1)&gt;0,Listas!$B$13&lt;&gt;"OK"),"REVISAR DADOS",IF(H53="Inativo","INATIVO",IF(Q53&lt;=F53,"REPOR","OK"))))</x:f>
      </x:c>
      <x:c r="O53" s="27"/>
      <x:c r="P53" s="163" t="str">
        <x:f>IF(COUNTA(A53:H53,O53)=0,"",IF(OR(A53="",COUNTIFS($A$5:$A$204,A53)&lt;&gt;1),"SKU ausente ou duplicado",IF(OR(B53="",D53=""),"Produto ou unidade ausente",IF(OR(NOT(ISNUMBER(F53)),F53&lt;0,NOT(ISNUMBER(G53)),G53&lt;0),"Mínimo ou custo inválido",IF(AND(H53&lt;&gt;"Ativo",H53&lt;&gt;"Inativo"),"Status de produto inválido","")))))</x:f>
      </x:c>
      <x:c r="Q53" s="163" t="str">
        <x:f>IF(A53="","",IF(OR(P53&lt;&gt;"",COUNTIFS(Lotes!$B$5:$B$204,A53,Lotes!$U$5:$U$204,1)&gt;0,Listas!$B$13&lt;&gt;"OK"),"n.a.",SUMIFS(Lotes!$V$5:$V$204,Lotes!$B$5:$B$204,A53)))</x:f>
      </x:c>
      <x:c r="R53" s="163" t="n">
        <x:f>IF(P53="",0,1)</x:f>
        <x:v>0</x:v>
      </x:c>
      <x:c r="S53" s="163" t="n">
        <x:f>IF(COUNTA(A53:H53,O53)=0,0,IF(OR(Listas!$B$19="Todos",A53=Listas!$B$19,A53=""),1,0))</x:f>
        <x:v>0</x:v>
      </x:c>
      <x:c r="T53" s="163" t="n">
        <x:f>IF(S53=1,COUNTIFS($S$5:S53,1),0)</x:f>
        <x:v>0</x:v>
      </x:c>
      <x:c r="U53" s="1"/>
      <x:c r="V53" s="1"/>
      <x:c r="W53" s="1"/>
    </x:row>
    <x:row r="54" ht="32" customHeight="1">
      <x:c r="A54" s="170"/>
      <x:c r="B54" s="170"/>
      <x:c r="C54" s="170"/>
      <x:c r="D54" s="170"/>
      <x:c r="E54" s="170"/>
      <x:c r="F54" s="171"/>
      <x:c r="G54" s="172"/>
      <x:c r="H54" s="170"/>
      <x:c r="I54" s="173" t="str">
        <x:f>IF(A54="","",IF(OR(P54&lt;&gt;"",COUNTIFS(Lotes!$B$5:$B$204,A54,Lotes!$U$5:$U$204,1)&gt;0,Listas!$B$13&lt;&gt;"OK"),"n.a.",SUMIFS(Lotes!$J$5:$J$204,Lotes!$B$5:$B$204,A54)))</x:f>
      </x:c>
      <x:c r="J54" s="174" t="str">
        <x:f>IF(A54="","",IF(OR(P54&lt;&gt;"",COUNTIFS(Lotes!$B$5:$B$204,A54,Lotes!$U$5:$U$204,1)&gt;0,Listas!$B$13&lt;&gt;"OK"),"n.a.",SUMIFS(Lotes!$L$5:$L$204,Lotes!$B$5:$B$204,A54)))</x:f>
      </x:c>
      <x:c r="K54" s="173" t="str">
        <x:f>IF(A54="","",IF(OR(P54&lt;&gt;"",COUNTIFS(Lotes!$B$5:$B$204,A54,Lotes!$U$5:$U$204,1)&gt;0,Listas!$B$13&lt;&gt;"OK"),"n.a.",COUNTIFS(Lotes!$B$5:$B$204,A54,Lotes!$J$5:$J$204,"&gt;0")))</x:f>
      </x:c>
      <x:c r="L54" s="173" t="str">
        <x:f>IF(A54="","",IF(OR(P54&lt;&gt;"",COUNTIFS(Lotes!$B$5:$B$204,A54,Lotes!$U$5:$U$204,1)&gt;0,Listas!$B$13&lt;&gt;"OK"),"n.a.",COUNTIFS(Lotes!$B$5:$B$204,A54,Lotes!$J$5:$J$204,"&gt;0",Lotes!$N$5:$N$204,"VENCIDO")))</x:f>
      </x:c>
      <x:c r="M54" s="173" t="str">
        <x:f>IF(A54="","",IF(OR(P54&lt;&gt;"",COUNTIFS(Lotes!$B$5:$B$204,A54,Lotes!$U$5:$U$204,1)&gt;0,Listas!$B$13&lt;&gt;"OK"),"n.a.",COUNTIFS(Lotes!$B$5:$B$204,A54,Lotes!$J$5:$J$204,"&gt;0",Lotes!$N$5:$N$204,"CRÍTICO")+COUNTIFS(Lotes!$B$5:$B$204,A54,Lotes!$J$5:$J$204,"&gt;0",Lotes!$N$5:$N$204,"VENCE NA JANELA")))</x:f>
      </x:c>
      <x:c r="N54" s="173" t="str">
        <x:f>IF(A54="","",IF(OR(P54&lt;&gt;"",COUNTIFS(Lotes!$B$5:$B$204,A54,Lotes!$U$5:$U$204,1)&gt;0,Listas!$B$13&lt;&gt;"OK"),"REVISAR DADOS",IF(H54="Inativo","INATIVO",IF(Q54&lt;=F54,"REPOR","OK"))))</x:f>
      </x:c>
      <x:c r="O54" s="27"/>
      <x:c r="P54" s="163" t="str">
        <x:f>IF(COUNTA(A54:H54,O54)=0,"",IF(OR(A54="",COUNTIFS($A$5:$A$204,A54)&lt;&gt;1),"SKU ausente ou duplicado",IF(OR(B54="",D54=""),"Produto ou unidade ausente",IF(OR(NOT(ISNUMBER(F54)),F54&lt;0,NOT(ISNUMBER(G54)),G54&lt;0),"Mínimo ou custo inválido",IF(AND(H54&lt;&gt;"Ativo",H54&lt;&gt;"Inativo"),"Status de produto inválido","")))))</x:f>
      </x:c>
      <x:c r="Q54" s="163" t="str">
        <x:f>IF(A54="","",IF(OR(P54&lt;&gt;"",COUNTIFS(Lotes!$B$5:$B$204,A54,Lotes!$U$5:$U$204,1)&gt;0,Listas!$B$13&lt;&gt;"OK"),"n.a.",SUMIFS(Lotes!$V$5:$V$204,Lotes!$B$5:$B$204,A54)))</x:f>
      </x:c>
      <x:c r="R54" s="163" t="n">
        <x:f>IF(P54="",0,1)</x:f>
        <x:v>0</x:v>
      </x:c>
      <x:c r="S54" s="163" t="n">
        <x:f>IF(COUNTA(A54:H54,O54)=0,0,IF(OR(Listas!$B$19="Todos",A54=Listas!$B$19,A54=""),1,0))</x:f>
        <x:v>0</x:v>
      </x:c>
      <x:c r="T54" s="163" t="n">
        <x:f>IF(S54=1,COUNTIFS($S$5:S54,1),0)</x:f>
        <x:v>0</x:v>
      </x:c>
      <x:c r="U54" s="1"/>
      <x:c r="V54" s="1"/>
      <x:c r="W54" s="1"/>
    </x:row>
    <x:row r="55" ht="32" customHeight="1">
      <x:c r="A55" s="170"/>
      <x:c r="B55" s="170"/>
      <x:c r="C55" s="170"/>
      <x:c r="D55" s="170"/>
      <x:c r="E55" s="170"/>
      <x:c r="F55" s="171"/>
      <x:c r="G55" s="172"/>
      <x:c r="H55" s="170"/>
      <x:c r="I55" s="173" t="str">
        <x:f>IF(A55="","",IF(OR(P55&lt;&gt;"",COUNTIFS(Lotes!$B$5:$B$204,A55,Lotes!$U$5:$U$204,1)&gt;0,Listas!$B$13&lt;&gt;"OK"),"n.a.",SUMIFS(Lotes!$J$5:$J$204,Lotes!$B$5:$B$204,A55)))</x:f>
      </x:c>
      <x:c r="J55" s="174" t="str">
        <x:f>IF(A55="","",IF(OR(P55&lt;&gt;"",COUNTIFS(Lotes!$B$5:$B$204,A55,Lotes!$U$5:$U$204,1)&gt;0,Listas!$B$13&lt;&gt;"OK"),"n.a.",SUMIFS(Lotes!$L$5:$L$204,Lotes!$B$5:$B$204,A55)))</x:f>
      </x:c>
      <x:c r="K55" s="173" t="str">
        <x:f>IF(A55="","",IF(OR(P55&lt;&gt;"",COUNTIFS(Lotes!$B$5:$B$204,A55,Lotes!$U$5:$U$204,1)&gt;0,Listas!$B$13&lt;&gt;"OK"),"n.a.",COUNTIFS(Lotes!$B$5:$B$204,A55,Lotes!$J$5:$J$204,"&gt;0")))</x:f>
      </x:c>
      <x:c r="L55" s="173" t="str">
        <x:f>IF(A55="","",IF(OR(P55&lt;&gt;"",COUNTIFS(Lotes!$B$5:$B$204,A55,Lotes!$U$5:$U$204,1)&gt;0,Listas!$B$13&lt;&gt;"OK"),"n.a.",COUNTIFS(Lotes!$B$5:$B$204,A55,Lotes!$J$5:$J$204,"&gt;0",Lotes!$N$5:$N$204,"VENCIDO")))</x:f>
      </x:c>
      <x:c r="M55" s="173" t="str">
        <x:f>IF(A55="","",IF(OR(P55&lt;&gt;"",COUNTIFS(Lotes!$B$5:$B$204,A55,Lotes!$U$5:$U$204,1)&gt;0,Listas!$B$13&lt;&gt;"OK"),"n.a.",COUNTIFS(Lotes!$B$5:$B$204,A55,Lotes!$J$5:$J$204,"&gt;0",Lotes!$N$5:$N$204,"CRÍTICO")+COUNTIFS(Lotes!$B$5:$B$204,A55,Lotes!$J$5:$J$204,"&gt;0",Lotes!$N$5:$N$204,"VENCE NA JANELA")))</x:f>
      </x:c>
      <x:c r="N55" s="173" t="str">
        <x:f>IF(A55="","",IF(OR(P55&lt;&gt;"",COUNTIFS(Lotes!$B$5:$B$204,A55,Lotes!$U$5:$U$204,1)&gt;0,Listas!$B$13&lt;&gt;"OK"),"REVISAR DADOS",IF(H55="Inativo","INATIVO",IF(Q55&lt;=F55,"REPOR","OK"))))</x:f>
      </x:c>
      <x:c r="O55" s="27"/>
      <x:c r="P55" s="163" t="str">
        <x:f>IF(COUNTA(A55:H55,O55)=0,"",IF(OR(A55="",COUNTIFS($A$5:$A$204,A55)&lt;&gt;1),"SKU ausente ou duplicado",IF(OR(B55="",D55=""),"Produto ou unidade ausente",IF(OR(NOT(ISNUMBER(F55)),F55&lt;0,NOT(ISNUMBER(G55)),G55&lt;0),"Mínimo ou custo inválido",IF(AND(H55&lt;&gt;"Ativo",H55&lt;&gt;"Inativo"),"Status de produto inválido","")))))</x:f>
      </x:c>
      <x:c r="Q55" s="163" t="str">
        <x:f>IF(A55="","",IF(OR(P55&lt;&gt;"",COUNTIFS(Lotes!$B$5:$B$204,A55,Lotes!$U$5:$U$204,1)&gt;0,Listas!$B$13&lt;&gt;"OK"),"n.a.",SUMIFS(Lotes!$V$5:$V$204,Lotes!$B$5:$B$204,A55)))</x:f>
      </x:c>
      <x:c r="R55" s="163" t="n">
        <x:f>IF(P55="",0,1)</x:f>
        <x:v>0</x:v>
      </x:c>
      <x:c r="S55" s="163" t="n">
        <x:f>IF(COUNTA(A55:H55,O55)=0,0,IF(OR(Listas!$B$19="Todos",A55=Listas!$B$19,A55=""),1,0))</x:f>
        <x:v>0</x:v>
      </x:c>
      <x:c r="T55" s="163" t="n">
        <x:f>IF(S55=1,COUNTIFS($S$5:S55,1),0)</x:f>
        <x:v>0</x:v>
      </x:c>
      <x:c r="U55" s="1"/>
      <x:c r="V55" s="1"/>
      <x:c r="W55" s="1"/>
    </x:row>
    <x:row r="56" ht="32" customHeight="1">
      <x:c r="A56" s="170"/>
      <x:c r="B56" s="170"/>
      <x:c r="C56" s="170"/>
      <x:c r="D56" s="170"/>
      <x:c r="E56" s="170"/>
      <x:c r="F56" s="171"/>
      <x:c r="G56" s="172"/>
      <x:c r="H56" s="170"/>
      <x:c r="I56" s="173" t="str">
        <x:f>IF(A56="","",IF(OR(P56&lt;&gt;"",COUNTIFS(Lotes!$B$5:$B$204,A56,Lotes!$U$5:$U$204,1)&gt;0,Listas!$B$13&lt;&gt;"OK"),"n.a.",SUMIFS(Lotes!$J$5:$J$204,Lotes!$B$5:$B$204,A56)))</x:f>
      </x:c>
      <x:c r="J56" s="174" t="str">
        <x:f>IF(A56="","",IF(OR(P56&lt;&gt;"",COUNTIFS(Lotes!$B$5:$B$204,A56,Lotes!$U$5:$U$204,1)&gt;0,Listas!$B$13&lt;&gt;"OK"),"n.a.",SUMIFS(Lotes!$L$5:$L$204,Lotes!$B$5:$B$204,A56)))</x:f>
      </x:c>
      <x:c r="K56" s="173" t="str">
        <x:f>IF(A56="","",IF(OR(P56&lt;&gt;"",COUNTIFS(Lotes!$B$5:$B$204,A56,Lotes!$U$5:$U$204,1)&gt;0,Listas!$B$13&lt;&gt;"OK"),"n.a.",COUNTIFS(Lotes!$B$5:$B$204,A56,Lotes!$J$5:$J$204,"&gt;0")))</x:f>
      </x:c>
      <x:c r="L56" s="173" t="str">
        <x:f>IF(A56="","",IF(OR(P56&lt;&gt;"",COUNTIFS(Lotes!$B$5:$B$204,A56,Lotes!$U$5:$U$204,1)&gt;0,Listas!$B$13&lt;&gt;"OK"),"n.a.",COUNTIFS(Lotes!$B$5:$B$204,A56,Lotes!$J$5:$J$204,"&gt;0",Lotes!$N$5:$N$204,"VENCIDO")))</x:f>
      </x:c>
      <x:c r="M56" s="173" t="str">
        <x:f>IF(A56="","",IF(OR(P56&lt;&gt;"",COUNTIFS(Lotes!$B$5:$B$204,A56,Lotes!$U$5:$U$204,1)&gt;0,Listas!$B$13&lt;&gt;"OK"),"n.a.",COUNTIFS(Lotes!$B$5:$B$204,A56,Lotes!$J$5:$J$204,"&gt;0",Lotes!$N$5:$N$204,"CRÍTICO")+COUNTIFS(Lotes!$B$5:$B$204,A56,Lotes!$J$5:$J$204,"&gt;0",Lotes!$N$5:$N$204,"VENCE NA JANELA")))</x:f>
      </x:c>
      <x:c r="N56" s="173" t="str">
        <x:f>IF(A56="","",IF(OR(P56&lt;&gt;"",COUNTIFS(Lotes!$B$5:$B$204,A56,Lotes!$U$5:$U$204,1)&gt;0,Listas!$B$13&lt;&gt;"OK"),"REVISAR DADOS",IF(H56="Inativo","INATIVO",IF(Q56&lt;=F56,"REPOR","OK"))))</x:f>
      </x:c>
      <x:c r="O56" s="27"/>
      <x:c r="P56" s="163" t="str">
        <x:f>IF(COUNTA(A56:H56,O56)=0,"",IF(OR(A56="",COUNTIFS($A$5:$A$204,A56)&lt;&gt;1),"SKU ausente ou duplicado",IF(OR(B56="",D56=""),"Produto ou unidade ausente",IF(OR(NOT(ISNUMBER(F56)),F56&lt;0,NOT(ISNUMBER(G56)),G56&lt;0),"Mínimo ou custo inválido",IF(AND(H56&lt;&gt;"Ativo",H56&lt;&gt;"Inativo"),"Status de produto inválido","")))))</x:f>
      </x:c>
      <x:c r="Q56" s="163" t="str">
        <x:f>IF(A56="","",IF(OR(P56&lt;&gt;"",COUNTIFS(Lotes!$B$5:$B$204,A56,Lotes!$U$5:$U$204,1)&gt;0,Listas!$B$13&lt;&gt;"OK"),"n.a.",SUMIFS(Lotes!$V$5:$V$204,Lotes!$B$5:$B$204,A56)))</x:f>
      </x:c>
      <x:c r="R56" s="163" t="n">
        <x:f>IF(P56="",0,1)</x:f>
        <x:v>0</x:v>
      </x:c>
      <x:c r="S56" s="163" t="n">
        <x:f>IF(COUNTA(A56:H56,O56)=0,0,IF(OR(Listas!$B$19="Todos",A56=Listas!$B$19,A56=""),1,0))</x:f>
        <x:v>0</x:v>
      </x:c>
      <x:c r="T56" s="163" t="n">
        <x:f>IF(S56=1,COUNTIFS($S$5:S56,1),0)</x:f>
        <x:v>0</x:v>
      </x:c>
      <x:c r="U56" s="1"/>
      <x:c r="V56" s="1"/>
      <x:c r="W56" s="1"/>
    </x:row>
    <x:row r="57" ht="32" customHeight="1">
      <x:c r="A57" s="170"/>
      <x:c r="B57" s="170"/>
      <x:c r="C57" s="170"/>
      <x:c r="D57" s="170"/>
      <x:c r="E57" s="170"/>
      <x:c r="F57" s="171"/>
      <x:c r="G57" s="172"/>
      <x:c r="H57" s="170"/>
      <x:c r="I57" s="173" t="str">
        <x:f>IF(A57="","",IF(OR(P57&lt;&gt;"",COUNTIFS(Lotes!$B$5:$B$204,A57,Lotes!$U$5:$U$204,1)&gt;0,Listas!$B$13&lt;&gt;"OK"),"n.a.",SUMIFS(Lotes!$J$5:$J$204,Lotes!$B$5:$B$204,A57)))</x:f>
      </x:c>
      <x:c r="J57" s="174" t="str">
        <x:f>IF(A57="","",IF(OR(P57&lt;&gt;"",COUNTIFS(Lotes!$B$5:$B$204,A57,Lotes!$U$5:$U$204,1)&gt;0,Listas!$B$13&lt;&gt;"OK"),"n.a.",SUMIFS(Lotes!$L$5:$L$204,Lotes!$B$5:$B$204,A57)))</x:f>
      </x:c>
      <x:c r="K57" s="173" t="str">
        <x:f>IF(A57="","",IF(OR(P57&lt;&gt;"",COUNTIFS(Lotes!$B$5:$B$204,A57,Lotes!$U$5:$U$204,1)&gt;0,Listas!$B$13&lt;&gt;"OK"),"n.a.",COUNTIFS(Lotes!$B$5:$B$204,A57,Lotes!$J$5:$J$204,"&gt;0")))</x:f>
      </x:c>
      <x:c r="L57" s="173" t="str">
        <x:f>IF(A57="","",IF(OR(P57&lt;&gt;"",COUNTIFS(Lotes!$B$5:$B$204,A57,Lotes!$U$5:$U$204,1)&gt;0,Listas!$B$13&lt;&gt;"OK"),"n.a.",COUNTIFS(Lotes!$B$5:$B$204,A57,Lotes!$J$5:$J$204,"&gt;0",Lotes!$N$5:$N$204,"VENCIDO")))</x:f>
      </x:c>
      <x:c r="M57" s="173" t="str">
        <x:f>IF(A57="","",IF(OR(P57&lt;&gt;"",COUNTIFS(Lotes!$B$5:$B$204,A57,Lotes!$U$5:$U$204,1)&gt;0,Listas!$B$13&lt;&gt;"OK"),"n.a.",COUNTIFS(Lotes!$B$5:$B$204,A57,Lotes!$J$5:$J$204,"&gt;0",Lotes!$N$5:$N$204,"CRÍTICO")+COUNTIFS(Lotes!$B$5:$B$204,A57,Lotes!$J$5:$J$204,"&gt;0",Lotes!$N$5:$N$204,"VENCE NA JANELA")))</x:f>
      </x:c>
      <x:c r="N57" s="173" t="str">
        <x:f>IF(A57="","",IF(OR(P57&lt;&gt;"",COUNTIFS(Lotes!$B$5:$B$204,A57,Lotes!$U$5:$U$204,1)&gt;0,Listas!$B$13&lt;&gt;"OK"),"REVISAR DADOS",IF(H57="Inativo","INATIVO",IF(Q57&lt;=F57,"REPOR","OK"))))</x:f>
      </x:c>
      <x:c r="O57" s="27"/>
      <x:c r="P57" s="163" t="str">
        <x:f>IF(COUNTA(A57:H57,O57)=0,"",IF(OR(A57="",COUNTIFS($A$5:$A$204,A57)&lt;&gt;1),"SKU ausente ou duplicado",IF(OR(B57="",D57=""),"Produto ou unidade ausente",IF(OR(NOT(ISNUMBER(F57)),F57&lt;0,NOT(ISNUMBER(G57)),G57&lt;0),"Mínimo ou custo inválido",IF(AND(H57&lt;&gt;"Ativo",H57&lt;&gt;"Inativo"),"Status de produto inválido","")))))</x:f>
      </x:c>
      <x:c r="Q57" s="163" t="str">
        <x:f>IF(A57="","",IF(OR(P57&lt;&gt;"",COUNTIFS(Lotes!$B$5:$B$204,A57,Lotes!$U$5:$U$204,1)&gt;0,Listas!$B$13&lt;&gt;"OK"),"n.a.",SUMIFS(Lotes!$V$5:$V$204,Lotes!$B$5:$B$204,A57)))</x:f>
      </x:c>
      <x:c r="R57" s="163" t="n">
        <x:f>IF(P57="",0,1)</x:f>
        <x:v>0</x:v>
      </x:c>
      <x:c r="S57" s="163" t="n">
        <x:f>IF(COUNTA(A57:H57,O57)=0,0,IF(OR(Listas!$B$19="Todos",A57=Listas!$B$19,A57=""),1,0))</x:f>
        <x:v>0</x:v>
      </x:c>
      <x:c r="T57" s="163" t="n">
        <x:f>IF(S57=1,COUNTIFS($S$5:S57,1),0)</x:f>
        <x:v>0</x:v>
      </x:c>
      <x:c r="U57" s="1"/>
      <x:c r="V57" s="1"/>
      <x:c r="W57" s="1"/>
    </x:row>
    <x:row r="58" ht="32" customHeight="1">
      <x:c r="A58" s="170"/>
      <x:c r="B58" s="170"/>
      <x:c r="C58" s="170"/>
      <x:c r="D58" s="170"/>
      <x:c r="E58" s="170"/>
      <x:c r="F58" s="171"/>
      <x:c r="G58" s="172"/>
      <x:c r="H58" s="170"/>
      <x:c r="I58" s="173" t="str">
        <x:f>IF(A58="","",IF(OR(P58&lt;&gt;"",COUNTIFS(Lotes!$B$5:$B$204,A58,Lotes!$U$5:$U$204,1)&gt;0,Listas!$B$13&lt;&gt;"OK"),"n.a.",SUMIFS(Lotes!$J$5:$J$204,Lotes!$B$5:$B$204,A58)))</x:f>
      </x:c>
      <x:c r="J58" s="174" t="str">
        <x:f>IF(A58="","",IF(OR(P58&lt;&gt;"",COUNTIFS(Lotes!$B$5:$B$204,A58,Lotes!$U$5:$U$204,1)&gt;0,Listas!$B$13&lt;&gt;"OK"),"n.a.",SUMIFS(Lotes!$L$5:$L$204,Lotes!$B$5:$B$204,A58)))</x:f>
      </x:c>
      <x:c r="K58" s="173" t="str">
        <x:f>IF(A58="","",IF(OR(P58&lt;&gt;"",COUNTIFS(Lotes!$B$5:$B$204,A58,Lotes!$U$5:$U$204,1)&gt;0,Listas!$B$13&lt;&gt;"OK"),"n.a.",COUNTIFS(Lotes!$B$5:$B$204,A58,Lotes!$J$5:$J$204,"&gt;0")))</x:f>
      </x:c>
      <x:c r="L58" s="173" t="str">
        <x:f>IF(A58="","",IF(OR(P58&lt;&gt;"",COUNTIFS(Lotes!$B$5:$B$204,A58,Lotes!$U$5:$U$204,1)&gt;0,Listas!$B$13&lt;&gt;"OK"),"n.a.",COUNTIFS(Lotes!$B$5:$B$204,A58,Lotes!$J$5:$J$204,"&gt;0",Lotes!$N$5:$N$204,"VENCIDO")))</x:f>
      </x:c>
      <x:c r="M58" s="173" t="str">
        <x:f>IF(A58="","",IF(OR(P58&lt;&gt;"",COUNTIFS(Lotes!$B$5:$B$204,A58,Lotes!$U$5:$U$204,1)&gt;0,Listas!$B$13&lt;&gt;"OK"),"n.a.",COUNTIFS(Lotes!$B$5:$B$204,A58,Lotes!$J$5:$J$204,"&gt;0",Lotes!$N$5:$N$204,"CRÍTICO")+COUNTIFS(Lotes!$B$5:$B$204,A58,Lotes!$J$5:$J$204,"&gt;0",Lotes!$N$5:$N$204,"VENCE NA JANELA")))</x:f>
      </x:c>
      <x:c r="N58" s="173" t="str">
        <x:f>IF(A58="","",IF(OR(P58&lt;&gt;"",COUNTIFS(Lotes!$B$5:$B$204,A58,Lotes!$U$5:$U$204,1)&gt;0,Listas!$B$13&lt;&gt;"OK"),"REVISAR DADOS",IF(H58="Inativo","INATIVO",IF(Q58&lt;=F58,"REPOR","OK"))))</x:f>
      </x:c>
      <x:c r="O58" s="27"/>
      <x:c r="P58" s="163" t="str">
        <x:f>IF(COUNTA(A58:H58,O58)=0,"",IF(OR(A58="",COUNTIFS($A$5:$A$204,A58)&lt;&gt;1),"SKU ausente ou duplicado",IF(OR(B58="",D58=""),"Produto ou unidade ausente",IF(OR(NOT(ISNUMBER(F58)),F58&lt;0,NOT(ISNUMBER(G58)),G58&lt;0),"Mínimo ou custo inválido",IF(AND(H58&lt;&gt;"Ativo",H58&lt;&gt;"Inativo"),"Status de produto inválido","")))))</x:f>
      </x:c>
      <x:c r="Q58" s="163" t="str">
        <x:f>IF(A58="","",IF(OR(P58&lt;&gt;"",COUNTIFS(Lotes!$B$5:$B$204,A58,Lotes!$U$5:$U$204,1)&gt;0,Listas!$B$13&lt;&gt;"OK"),"n.a.",SUMIFS(Lotes!$V$5:$V$204,Lotes!$B$5:$B$204,A58)))</x:f>
      </x:c>
      <x:c r="R58" s="163" t="n">
        <x:f>IF(P58="",0,1)</x:f>
        <x:v>0</x:v>
      </x:c>
      <x:c r="S58" s="163" t="n">
        <x:f>IF(COUNTA(A58:H58,O58)=0,0,IF(OR(Listas!$B$19="Todos",A58=Listas!$B$19,A58=""),1,0))</x:f>
        <x:v>0</x:v>
      </x:c>
      <x:c r="T58" s="163" t="n">
        <x:f>IF(S58=1,COUNTIFS($S$5:S58,1),0)</x:f>
        <x:v>0</x:v>
      </x:c>
      <x:c r="U58" s="1"/>
      <x:c r="V58" s="1"/>
      <x:c r="W58" s="1"/>
    </x:row>
    <x:row r="59" ht="32" customHeight="1">
      <x:c r="A59" s="170"/>
      <x:c r="B59" s="170"/>
      <x:c r="C59" s="170"/>
      <x:c r="D59" s="170"/>
      <x:c r="E59" s="170"/>
      <x:c r="F59" s="171"/>
      <x:c r="G59" s="172"/>
      <x:c r="H59" s="170"/>
      <x:c r="I59" s="173" t="str">
        <x:f>IF(A59="","",IF(OR(P59&lt;&gt;"",COUNTIFS(Lotes!$B$5:$B$204,A59,Lotes!$U$5:$U$204,1)&gt;0,Listas!$B$13&lt;&gt;"OK"),"n.a.",SUMIFS(Lotes!$J$5:$J$204,Lotes!$B$5:$B$204,A59)))</x:f>
      </x:c>
      <x:c r="J59" s="174" t="str">
        <x:f>IF(A59="","",IF(OR(P59&lt;&gt;"",COUNTIFS(Lotes!$B$5:$B$204,A59,Lotes!$U$5:$U$204,1)&gt;0,Listas!$B$13&lt;&gt;"OK"),"n.a.",SUMIFS(Lotes!$L$5:$L$204,Lotes!$B$5:$B$204,A59)))</x:f>
      </x:c>
      <x:c r="K59" s="173" t="str">
        <x:f>IF(A59="","",IF(OR(P59&lt;&gt;"",COUNTIFS(Lotes!$B$5:$B$204,A59,Lotes!$U$5:$U$204,1)&gt;0,Listas!$B$13&lt;&gt;"OK"),"n.a.",COUNTIFS(Lotes!$B$5:$B$204,A59,Lotes!$J$5:$J$204,"&gt;0")))</x:f>
      </x:c>
      <x:c r="L59" s="173" t="str">
        <x:f>IF(A59="","",IF(OR(P59&lt;&gt;"",COUNTIFS(Lotes!$B$5:$B$204,A59,Lotes!$U$5:$U$204,1)&gt;0,Listas!$B$13&lt;&gt;"OK"),"n.a.",COUNTIFS(Lotes!$B$5:$B$204,A59,Lotes!$J$5:$J$204,"&gt;0",Lotes!$N$5:$N$204,"VENCIDO")))</x:f>
      </x:c>
      <x:c r="M59" s="173" t="str">
        <x:f>IF(A59="","",IF(OR(P59&lt;&gt;"",COUNTIFS(Lotes!$B$5:$B$204,A59,Lotes!$U$5:$U$204,1)&gt;0,Listas!$B$13&lt;&gt;"OK"),"n.a.",COUNTIFS(Lotes!$B$5:$B$204,A59,Lotes!$J$5:$J$204,"&gt;0",Lotes!$N$5:$N$204,"CRÍTICO")+COUNTIFS(Lotes!$B$5:$B$204,A59,Lotes!$J$5:$J$204,"&gt;0",Lotes!$N$5:$N$204,"VENCE NA JANELA")))</x:f>
      </x:c>
      <x:c r="N59" s="173" t="str">
        <x:f>IF(A59="","",IF(OR(P59&lt;&gt;"",COUNTIFS(Lotes!$B$5:$B$204,A59,Lotes!$U$5:$U$204,1)&gt;0,Listas!$B$13&lt;&gt;"OK"),"REVISAR DADOS",IF(H59="Inativo","INATIVO",IF(Q59&lt;=F59,"REPOR","OK"))))</x:f>
      </x:c>
      <x:c r="O59" s="27"/>
      <x:c r="P59" s="163" t="str">
        <x:f>IF(COUNTA(A59:H59,O59)=0,"",IF(OR(A59="",COUNTIFS($A$5:$A$204,A59)&lt;&gt;1),"SKU ausente ou duplicado",IF(OR(B59="",D59=""),"Produto ou unidade ausente",IF(OR(NOT(ISNUMBER(F59)),F59&lt;0,NOT(ISNUMBER(G59)),G59&lt;0),"Mínimo ou custo inválido",IF(AND(H59&lt;&gt;"Ativo",H59&lt;&gt;"Inativo"),"Status de produto inválido","")))))</x:f>
      </x:c>
      <x:c r="Q59" s="163" t="str">
        <x:f>IF(A59="","",IF(OR(P59&lt;&gt;"",COUNTIFS(Lotes!$B$5:$B$204,A59,Lotes!$U$5:$U$204,1)&gt;0,Listas!$B$13&lt;&gt;"OK"),"n.a.",SUMIFS(Lotes!$V$5:$V$204,Lotes!$B$5:$B$204,A59)))</x:f>
      </x:c>
      <x:c r="R59" s="163" t="n">
        <x:f>IF(P59="",0,1)</x:f>
        <x:v>0</x:v>
      </x:c>
      <x:c r="S59" s="163" t="n">
        <x:f>IF(COUNTA(A59:H59,O59)=0,0,IF(OR(Listas!$B$19="Todos",A59=Listas!$B$19,A59=""),1,0))</x:f>
        <x:v>0</x:v>
      </x:c>
      <x:c r="T59" s="163" t="n">
        <x:f>IF(S59=1,COUNTIFS($S$5:S59,1),0)</x:f>
        <x:v>0</x:v>
      </x:c>
      <x:c r="U59" s="1"/>
      <x:c r="V59" s="1"/>
      <x:c r="W59" s="1"/>
    </x:row>
    <x:row r="60" ht="32" customHeight="1">
      <x:c r="A60" s="170"/>
      <x:c r="B60" s="170"/>
      <x:c r="C60" s="170"/>
      <x:c r="D60" s="170"/>
      <x:c r="E60" s="170"/>
      <x:c r="F60" s="171"/>
      <x:c r="G60" s="172"/>
      <x:c r="H60" s="170"/>
      <x:c r="I60" s="173" t="str">
        <x:f>IF(A60="","",IF(OR(P60&lt;&gt;"",COUNTIFS(Lotes!$B$5:$B$204,A60,Lotes!$U$5:$U$204,1)&gt;0,Listas!$B$13&lt;&gt;"OK"),"n.a.",SUMIFS(Lotes!$J$5:$J$204,Lotes!$B$5:$B$204,A60)))</x:f>
      </x:c>
      <x:c r="J60" s="174" t="str">
        <x:f>IF(A60="","",IF(OR(P60&lt;&gt;"",COUNTIFS(Lotes!$B$5:$B$204,A60,Lotes!$U$5:$U$204,1)&gt;0,Listas!$B$13&lt;&gt;"OK"),"n.a.",SUMIFS(Lotes!$L$5:$L$204,Lotes!$B$5:$B$204,A60)))</x:f>
      </x:c>
      <x:c r="K60" s="173" t="str">
        <x:f>IF(A60="","",IF(OR(P60&lt;&gt;"",COUNTIFS(Lotes!$B$5:$B$204,A60,Lotes!$U$5:$U$204,1)&gt;0,Listas!$B$13&lt;&gt;"OK"),"n.a.",COUNTIFS(Lotes!$B$5:$B$204,A60,Lotes!$J$5:$J$204,"&gt;0")))</x:f>
      </x:c>
      <x:c r="L60" s="173" t="str">
        <x:f>IF(A60="","",IF(OR(P60&lt;&gt;"",COUNTIFS(Lotes!$B$5:$B$204,A60,Lotes!$U$5:$U$204,1)&gt;0,Listas!$B$13&lt;&gt;"OK"),"n.a.",COUNTIFS(Lotes!$B$5:$B$204,A60,Lotes!$J$5:$J$204,"&gt;0",Lotes!$N$5:$N$204,"VENCIDO")))</x:f>
      </x:c>
      <x:c r="M60" s="173" t="str">
        <x:f>IF(A60="","",IF(OR(P60&lt;&gt;"",COUNTIFS(Lotes!$B$5:$B$204,A60,Lotes!$U$5:$U$204,1)&gt;0,Listas!$B$13&lt;&gt;"OK"),"n.a.",COUNTIFS(Lotes!$B$5:$B$204,A60,Lotes!$J$5:$J$204,"&gt;0",Lotes!$N$5:$N$204,"CRÍTICO")+COUNTIFS(Lotes!$B$5:$B$204,A60,Lotes!$J$5:$J$204,"&gt;0",Lotes!$N$5:$N$204,"VENCE NA JANELA")))</x:f>
      </x:c>
      <x:c r="N60" s="173" t="str">
        <x:f>IF(A60="","",IF(OR(P60&lt;&gt;"",COUNTIFS(Lotes!$B$5:$B$204,A60,Lotes!$U$5:$U$204,1)&gt;0,Listas!$B$13&lt;&gt;"OK"),"REVISAR DADOS",IF(H60="Inativo","INATIVO",IF(Q60&lt;=F60,"REPOR","OK"))))</x:f>
      </x:c>
      <x:c r="O60" s="27"/>
      <x:c r="P60" s="163" t="str">
        <x:f>IF(COUNTA(A60:H60,O60)=0,"",IF(OR(A60="",COUNTIFS($A$5:$A$204,A60)&lt;&gt;1),"SKU ausente ou duplicado",IF(OR(B60="",D60=""),"Produto ou unidade ausente",IF(OR(NOT(ISNUMBER(F60)),F60&lt;0,NOT(ISNUMBER(G60)),G60&lt;0),"Mínimo ou custo inválido",IF(AND(H60&lt;&gt;"Ativo",H60&lt;&gt;"Inativo"),"Status de produto inválido","")))))</x:f>
      </x:c>
      <x:c r="Q60" s="163" t="str">
        <x:f>IF(A60="","",IF(OR(P60&lt;&gt;"",COUNTIFS(Lotes!$B$5:$B$204,A60,Lotes!$U$5:$U$204,1)&gt;0,Listas!$B$13&lt;&gt;"OK"),"n.a.",SUMIFS(Lotes!$V$5:$V$204,Lotes!$B$5:$B$204,A60)))</x:f>
      </x:c>
      <x:c r="R60" s="163" t="n">
        <x:f>IF(P60="",0,1)</x:f>
        <x:v>0</x:v>
      </x:c>
      <x:c r="S60" s="163" t="n">
        <x:f>IF(COUNTA(A60:H60,O60)=0,0,IF(OR(Listas!$B$19="Todos",A60=Listas!$B$19,A60=""),1,0))</x:f>
        <x:v>0</x:v>
      </x:c>
      <x:c r="T60" s="163" t="n">
        <x:f>IF(S60=1,COUNTIFS($S$5:S60,1),0)</x:f>
        <x:v>0</x:v>
      </x:c>
      <x:c r="U60" s="1"/>
      <x:c r="V60" s="1"/>
      <x:c r="W60" s="1"/>
    </x:row>
    <x:row r="61" ht="32" customHeight="1">
      <x:c r="A61" s="170"/>
      <x:c r="B61" s="170"/>
      <x:c r="C61" s="170"/>
      <x:c r="D61" s="170"/>
      <x:c r="E61" s="170"/>
      <x:c r="F61" s="171"/>
      <x:c r="G61" s="172"/>
      <x:c r="H61" s="170"/>
      <x:c r="I61" s="173" t="str">
        <x:f>IF(A61="","",IF(OR(P61&lt;&gt;"",COUNTIFS(Lotes!$B$5:$B$204,A61,Lotes!$U$5:$U$204,1)&gt;0,Listas!$B$13&lt;&gt;"OK"),"n.a.",SUMIFS(Lotes!$J$5:$J$204,Lotes!$B$5:$B$204,A61)))</x:f>
      </x:c>
      <x:c r="J61" s="174" t="str">
        <x:f>IF(A61="","",IF(OR(P61&lt;&gt;"",COUNTIFS(Lotes!$B$5:$B$204,A61,Lotes!$U$5:$U$204,1)&gt;0,Listas!$B$13&lt;&gt;"OK"),"n.a.",SUMIFS(Lotes!$L$5:$L$204,Lotes!$B$5:$B$204,A61)))</x:f>
      </x:c>
      <x:c r="K61" s="173" t="str">
        <x:f>IF(A61="","",IF(OR(P61&lt;&gt;"",COUNTIFS(Lotes!$B$5:$B$204,A61,Lotes!$U$5:$U$204,1)&gt;0,Listas!$B$13&lt;&gt;"OK"),"n.a.",COUNTIFS(Lotes!$B$5:$B$204,A61,Lotes!$J$5:$J$204,"&gt;0")))</x:f>
      </x:c>
      <x:c r="L61" s="173" t="str">
        <x:f>IF(A61="","",IF(OR(P61&lt;&gt;"",COUNTIFS(Lotes!$B$5:$B$204,A61,Lotes!$U$5:$U$204,1)&gt;0,Listas!$B$13&lt;&gt;"OK"),"n.a.",COUNTIFS(Lotes!$B$5:$B$204,A61,Lotes!$J$5:$J$204,"&gt;0",Lotes!$N$5:$N$204,"VENCIDO")))</x:f>
      </x:c>
      <x:c r="M61" s="173" t="str">
        <x:f>IF(A61="","",IF(OR(P61&lt;&gt;"",COUNTIFS(Lotes!$B$5:$B$204,A61,Lotes!$U$5:$U$204,1)&gt;0,Listas!$B$13&lt;&gt;"OK"),"n.a.",COUNTIFS(Lotes!$B$5:$B$204,A61,Lotes!$J$5:$J$204,"&gt;0",Lotes!$N$5:$N$204,"CRÍTICO")+COUNTIFS(Lotes!$B$5:$B$204,A61,Lotes!$J$5:$J$204,"&gt;0",Lotes!$N$5:$N$204,"VENCE NA JANELA")))</x:f>
      </x:c>
      <x:c r="N61" s="173" t="str">
        <x:f>IF(A61="","",IF(OR(P61&lt;&gt;"",COUNTIFS(Lotes!$B$5:$B$204,A61,Lotes!$U$5:$U$204,1)&gt;0,Listas!$B$13&lt;&gt;"OK"),"REVISAR DADOS",IF(H61="Inativo","INATIVO",IF(Q61&lt;=F61,"REPOR","OK"))))</x:f>
      </x:c>
      <x:c r="O61" s="27"/>
      <x:c r="P61" s="163" t="str">
        <x:f>IF(COUNTA(A61:H61,O61)=0,"",IF(OR(A61="",COUNTIFS($A$5:$A$204,A61)&lt;&gt;1),"SKU ausente ou duplicado",IF(OR(B61="",D61=""),"Produto ou unidade ausente",IF(OR(NOT(ISNUMBER(F61)),F61&lt;0,NOT(ISNUMBER(G61)),G61&lt;0),"Mínimo ou custo inválido",IF(AND(H61&lt;&gt;"Ativo",H61&lt;&gt;"Inativo"),"Status de produto inválido","")))))</x:f>
      </x:c>
      <x:c r="Q61" s="163" t="str">
        <x:f>IF(A61="","",IF(OR(P61&lt;&gt;"",COUNTIFS(Lotes!$B$5:$B$204,A61,Lotes!$U$5:$U$204,1)&gt;0,Listas!$B$13&lt;&gt;"OK"),"n.a.",SUMIFS(Lotes!$V$5:$V$204,Lotes!$B$5:$B$204,A61)))</x:f>
      </x:c>
      <x:c r="R61" s="163" t="n">
        <x:f>IF(P61="",0,1)</x:f>
        <x:v>0</x:v>
      </x:c>
      <x:c r="S61" s="163" t="n">
        <x:f>IF(COUNTA(A61:H61,O61)=0,0,IF(OR(Listas!$B$19="Todos",A61=Listas!$B$19,A61=""),1,0))</x:f>
        <x:v>0</x:v>
      </x:c>
      <x:c r="T61" s="163" t="n">
        <x:f>IF(S61=1,COUNTIFS($S$5:S61,1),0)</x:f>
        <x:v>0</x:v>
      </x:c>
      <x:c r="U61" s="1"/>
      <x:c r="V61" s="1"/>
      <x:c r="W61" s="1"/>
    </x:row>
    <x:row r="62" ht="32" customHeight="1">
      <x:c r="A62" s="170"/>
      <x:c r="B62" s="170"/>
      <x:c r="C62" s="170"/>
      <x:c r="D62" s="170"/>
      <x:c r="E62" s="170"/>
      <x:c r="F62" s="171"/>
      <x:c r="G62" s="172"/>
      <x:c r="H62" s="170"/>
      <x:c r="I62" s="173" t="str">
        <x:f>IF(A62="","",IF(OR(P62&lt;&gt;"",COUNTIFS(Lotes!$B$5:$B$204,A62,Lotes!$U$5:$U$204,1)&gt;0,Listas!$B$13&lt;&gt;"OK"),"n.a.",SUMIFS(Lotes!$J$5:$J$204,Lotes!$B$5:$B$204,A62)))</x:f>
      </x:c>
      <x:c r="J62" s="174" t="str">
        <x:f>IF(A62="","",IF(OR(P62&lt;&gt;"",COUNTIFS(Lotes!$B$5:$B$204,A62,Lotes!$U$5:$U$204,1)&gt;0,Listas!$B$13&lt;&gt;"OK"),"n.a.",SUMIFS(Lotes!$L$5:$L$204,Lotes!$B$5:$B$204,A62)))</x:f>
      </x:c>
      <x:c r="K62" s="173" t="str">
        <x:f>IF(A62="","",IF(OR(P62&lt;&gt;"",COUNTIFS(Lotes!$B$5:$B$204,A62,Lotes!$U$5:$U$204,1)&gt;0,Listas!$B$13&lt;&gt;"OK"),"n.a.",COUNTIFS(Lotes!$B$5:$B$204,A62,Lotes!$J$5:$J$204,"&gt;0")))</x:f>
      </x:c>
      <x:c r="L62" s="173" t="str">
        <x:f>IF(A62="","",IF(OR(P62&lt;&gt;"",COUNTIFS(Lotes!$B$5:$B$204,A62,Lotes!$U$5:$U$204,1)&gt;0,Listas!$B$13&lt;&gt;"OK"),"n.a.",COUNTIFS(Lotes!$B$5:$B$204,A62,Lotes!$J$5:$J$204,"&gt;0",Lotes!$N$5:$N$204,"VENCIDO")))</x:f>
      </x:c>
      <x:c r="M62" s="173" t="str">
        <x:f>IF(A62="","",IF(OR(P62&lt;&gt;"",COUNTIFS(Lotes!$B$5:$B$204,A62,Lotes!$U$5:$U$204,1)&gt;0,Listas!$B$13&lt;&gt;"OK"),"n.a.",COUNTIFS(Lotes!$B$5:$B$204,A62,Lotes!$J$5:$J$204,"&gt;0",Lotes!$N$5:$N$204,"CRÍTICO")+COUNTIFS(Lotes!$B$5:$B$204,A62,Lotes!$J$5:$J$204,"&gt;0",Lotes!$N$5:$N$204,"VENCE NA JANELA")))</x:f>
      </x:c>
      <x:c r="N62" s="173" t="str">
        <x:f>IF(A62="","",IF(OR(P62&lt;&gt;"",COUNTIFS(Lotes!$B$5:$B$204,A62,Lotes!$U$5:$U$204,1)&gt;0,Listas!$B$13&lt;&gt;"OK"),"REVISAR DADOS",IF(H62="Inativo","INATIVO",IF(Q62&lt;=F62,"REPOR","OK"))))</x:f>
      </x:c>
      <x:c r="O62" s="27"/>
      <x:c r="P62" s="163" t="str">
        <x:f>IF(COUNTA(A62:H62,O62)=0,"",IF(OR(A62="",COUNTIFS($A$5:$A$204,A62)&lt;&gt;1),"SKU ausente ou duplicado",IF(OR(B62="",D62=""),"Produto ou unidade ausente",IF(OR(NOT(ISNUMBER(F62)),F62&lt;0,NOT(ISNUMBER(G62)),G62&lt;0),"Mínimo ou custo inválido",IF(AND(H62&lt;&gt;"Ativo",H62&lt;&gt;"Inativo"),"Status de produto inválido","")))))</x:f>
      </x:c>
      <x:c r="Q62" s="163" t="str">
        <x:f>IF(A62="","",IF(OR(P62&lt;&gt;"",COUNTIFS(Lotes!$B$5:$B$204,A62,Lotes!$U$5:$U$204,1)&gt;0,Listas!$B$13&lt;&gt;"OK"),"n.a.",SUMIFS(Lotes!$V$5:$V$204,Lotes!$B$5:$B$204,A62)))</x:f>
      </x:c>
      <x:c r="R62" s="163" t="n">
        <x:f>IF(P62="",0,1)</x:f>
        <x:v>0</x:v>
      </x:c>
      <x:c r="S62" s="163" t="n">
        <x:f>IF(COUNTA(A62:H62,O62)=0,0,IF(OR(Listas!$B$19="Todos",A62=Listas!$B$19,A62=""),1,0))</x:f>
        <x:v>0</x:v>
      </x:c>
      <x:c r="T62" s="163" t="n">
        <x:f>IF(S62=1,COUNTIFS($S$5:S62,1),0)</x:f>
        <x:v>0</x:v>
      </x:c>
      <x:c r="U62" s="1"/>
      <x:c r="V62" s="1"/>
      <x:c r="W62" s="1"/>
    </x:row>
    <x:row r="63" ht="32" customHeight="1">
      <x:c r="A63" s="170"/>
      <x:c r="B63" s="170"/>
      <x:c r="C63" s="170"/>
      <x:c r="D63" s="170"/>
      <x:c r="E63" s="170"/>
      <x:c r="F63" s="171"/>
      <x:c r="G63" s="172"/>
      <x:c r="H63" s="170"/>
      <x:c r="I63" s="173" t="str">
        <x:f>IF(A63="","",IF(OR(P63&lt;&gt;"",COUNTIFS(Lotes!$B$5:$B$204,A63,Lotes!$U$5:$U$204,1)&gt;0,Listas!$B$13&lt;&gt;"OK"),"n.a.",SUMIFS(Lotes!$J$5:$J$204,Lotes!$B$5:$B$204,A63)))</x:f>
      </x:c>
      <x:c r="J63" s="174" t="str">
        <x:f>IF(A63="","",IF(OR(P63&lt;&gt;"",COUNTIFS(Lotes!$B$5:$B$204,A63,Lotes!$U$5:$U$204,1)&gt;0,Listas!$B$13&lt;&gt;"OK"),"n.a.",SUMIFS(Lotes!$L$5:$L$204,Lotes!$B$5:$B$204,A63)))</x:f>
      </x:c>
      <x:c r="K63" s="173" t="str">
        <x:f>IF(A63="","",IF(OR(P63&lt;&gt;"",COUNTIFS(Lotes!$B$5:$B$204,A63,Lotes!$U$5:$U$204,1)&gt;0,Listas!$B$13&lt;&gt;"OK"),"n.a.",COUNTIFS(Lotes!$B$5:$B$204,A63,Lotes!$J$5:$J$204,"&gt;0")))</x:f>
      </x:c>
      <x:c r="L63" s="173" t="str">
        <x:f>IF(A63="","",IF(OR(P63&lt;&gt;"",COUNTIFS(Lotes!$B$5:$B$204,A63,Lotes!$U$5:$U$204,1)&gt;0,Listas!$B$13&lt;&gt;"OK"),"n.a.",COUNTIFS(Lotes!$B$5:$B$204,A63,Lotes!$J$5:$J$204,"&gt;0",Lotes!$N$5:$N$204,"VENCIDO")))</x:f>
      </x:c>
      <x:c r="M63" s="173" t="str">
        <x:f>IF(A63="","",IF(OR(P63&lt;&gt;"",COUNTIFS(Lotes!$B$5:$B$204,A63,Lotes!$U$5:$U$204,1)&gt;0,Listas!$B$13&lt;&gt;"OK"),"n.a.",COUNTIFS(Lotes!$B$5:$B$204,A63,Lotes!$J$5:$J$204,"&gt;0",Lotes!$N$5:$N$204,"CRÍTICO")+COUNTIFS(Lotes!$B$5:$B$204,A63,Lotes!$J$5:$J$204,"&gt;0",Lotes!$N$5:$N$204,"VENCE NA JANELA")))</x:f>
      </x:c>
      <x:c r="N63" s="173" t="str">
        <x:f>IF(A63="","",IF(OR(P63&lt;&gt;"",COUNTIFS(Lotes!$B$5:$B$204,A63,Lotes!$U$5:$U$204,1)&gt;0,Listas!$B$13&lt;&gt;"OK"),"REVISAR DADOS",IF(H63="Inativo","INATIVO",IF(Q63&lt;=F63,"REPOR","OK"))))</x:f>
      </x:c>
      <x:c r="O63" s="27"/>
      <x:c r="P63" s="163" t="str">
        <x:f>IF(COUNTA(A63:H63,O63)=0,"",IF(OR(A63="",COUNTIFS($A$5:$A$204,A63)&lt;&gt;1),"SKU ausente ou duplicado",IF(OR(B63="",D63=""),"Produto ou unidade ausente",IF(OR(NOT(ISNUMBER(F63)),F63&lt;0,NOT(ISNUMBER(G63)),G63&lt;0),"Mínimo ou custo inválido",IF(AND(H63&lt;&gt;"Ativo",H63&lt;&gt;"Inativo"),"Status de produto inválido","")))))</x:f>
      </x:c>
      <x:c r="Q63" s="163" t="str">
        <x:f>IF(A63="","",IF(OR(P63&lt;&gt;"",COUNTIFS(Lotes!$B$5:$B$204,A63,Lotes!$U$5:$U$204,1)&gt;0,Listas!$B$13&lt;&gt;"OK"),"n.a.",SUMIFS(Lotes!$V$5:$V$204,Lotes!$B$5:$B$204,A63)))</x:f>
      </x:c>
      <x:c r="R63" s="163" t="n">
        <x:f>IF(P63="",0,1)</x:f>
        <x:v>0</x:v>
      </x:c>
      <x:c r="S63" s="163" t="n">
        <x:f>IF(COUNTA(A63:H63,O63)=0,0,IF(OR(Listas!$B$19="Todos",A63=Listas!$B$19,A63=""),1,0))</x:f>
        <x:v>0</x:v>
      </x:c>
      <x:c r="T63" s="163" t="n">
        <x:f>IF(S63=1,COUNTIFS($S$5:S63,1),0)</x:f>
        <x:v>0</x:v>
      </x:c>
      <x:c r="U63" s="1"/>
      <x:c r="V63" s="1"/>
      <x:c r="W63" s="1"/>
    </x:row>
    <x:row r="64" ht="32" customHeight="1">
      <x:c r="A64" s="170"/>
      <x:c r="B64" s="170"/>
      <x:c r="C64" s="170"/>
      <x:c r="D64" s="170"/>
      <x:c r="E64" s="170"/>
      <x:c r="F64" s="171"/>
      <x:c r="G64" s="172"/>
      <x:c r="H64" s="170"/>
      <x:c r="I64" s="173" t="str">
        <x:f>IF(A64="","",IF(OR(P64&lt;&gt;"",COUNTIFS(Lotes!$B$5:$B$204,A64,Lotes!$U$5:$U$204,1)&gt;0,Listas!$B$13&lt;&gt;"OK"),"n.a.",SUMIFS(Lotes!$J$5:$J$204,Lotes!$B$5:$B$204,A64)))</x:f>
      </x:c>
      <x:c r="J64" s="174" t="str">
        <x:f>IF(A64="","",IF(OR(P64&lt;&gt;"",COUNTIFS(Lotes!$B$5:$B$204,A64,Lotes!$U$5:$U$204,1)&gt;0,Listas!$B$13&lt;&gt;"OK"),"n.a.",SUMIFS(Lotes!$L$5:$L$204,Lotes!$B$5:$B$204,A64)))</x:f>
      </x:c>
      <x:c r="K64" s="173" t="str">
        <x:f>IF(A64="","",IF(OR(P64&lt;&gt;"",COUNTIFS(Lotes!$B$5:$B$204,A64,Lotes!$U$5:$U$204,1)&gt;0,Listas!$B$13&lt;&gt;"OK"),"n.a.",COUNTIFS(Lotes!$B$5:$B$204,A64,Lotes!$J$5:$J$204,"&gt;0")))</x:f>
      </x:c>
      <x:c r="L64" s="173" t="str">
        <x:f>IF(A64="","",IF(OR(P64&lt;&gt;"",COUNTIFS(Lotes!$B$5:$B$204,A64,Lotes!$U$5:$U$204,1)&gt;0,Listas!$B$13&lt;&gt;"OK"),"n.a.",COUNTIFS(Lotes!$B$5:$B$204,A64,Lotes!$J$5:$J$204,"&gt;0",Lotes!$N$5:$N$204,"VENCIDO")))</x:f>
      </x:c>
      <x:c r="M64" s="173" t="str">
        <x:f>IF(A64="","",IF(OR(P64&lt;&gt;"",COUNTIFS(Lotes!$B$5:$B$204,A64,Lotes!$U$5:$U$204,1)&gt;0,Listas!$B$13&lt;&gt;"OK"),"n.a.",COUNTIFS(Lotes!$B$5:$B$204,A64,Lotes!$J$5:$J$204,"&gt;0",Lotes!$N$5:$N$204,"CRÍTICO")+COUNTIFS(Lotes!$B$5:$B$204,A64,Lotes!$J$5:$J$204,"&gt;0",Lotes!$N$5:$N$204,"VENCE NA JANELA")))</x:f>
      </x:c>
      <x:c r="N64" s="173" t="str">
        <x:f>IF(A64="","",IF(OR(P64&lt;&gt;"",COUNTIFS(Lotes!$B$5:$B$204,A64,Lotes!$U$5:$U$204,1)&gt;0,Listas!$B$13&lt;&gt;"OK"),"REVISAR DADOS",IF(H64="Inativo","INATIVO",IF(Q64&lt;=F64,"REPOR","OK"))))</x:f>
      </x:c>
      <x:c r="O64" s="27"/>
      <x:c r="P64" s="163" t="str">
        <x:f>IF(COUNTA(A64:H64,O64)=0,"",IF(OR(A64="",COUNTIFS($A$5:$A$204,A64)&lt;&gt;1),"SKU ausente ou duplicado",IF(OR(B64="",D64=""),"Produto ou unidade ausente",IF(OR(NOT(ISNUMBER(F64)),F64&lt;0,NOT(ISNUMBER(G64)),G64&lt;0),"Mínimo ou custo inválido",IF(AND(H64&lt;&gt;"Ativo",H64&lt;&gt;"Inativo"),"Status de produto inválido","")))))</x:f>
      </x:c>
      <x:c r="Q64" s="163" t="str">
        <x:f>IF(A64="","",IF(OR(P64&lt;&gt;"",COUNTIFS(Lotes!$B$5:$B$204,A64,Lotes!$U$5:$U$204,1)&gt;0,Listas!$B$13&lt;&gt;"OK"),"n.a.",SUMIFS(Lotes!$V$5:$V$204,Lotes!$B$5:$B$204,A64)))</x:f>
      </x:c>
      <x:c r="R64" s="163" t="n">
        <x:f>IF(P64="",0,1)</x:f>
        <x:v>0</x:v>
      </x:c>
      <x:c r="S64" s="163" t="n">
        <x:f>IF(COUNTA(A64:H64,O64)=0,0,IF(OR(Listas!$B$19="Todos",A64=Listas!$B$19,A64=""),1,0))</x:f>
        <x:v>0</x:v>
      </x:c>
      <x:c r="T64" s="163" t="n">
        <x:f>IF(S64=1,COUNTIFS($S$5:S64,1),0)</x:f>
        <x:v>0</x:v>
      </x:c>
      <x:c r="U64" s="1"/>
      <x:c r="V64" s="1"/>
      <x:c r="W64" s="1"/>
    </x:row>
    <x:row r="65" ht="32" customHeight="1">
      <x:c r="A65" s="170"/>
      <x:c r="B65" s="170"/>
      <x:c r="C65" s="170"/>
      <x:c r="D65" s="170"/>
      <x:c r="E65" s="170"/>
      <x:c r="F65" s="171"/>
      <x:c r="G65" s="172"/>
      <x:c r="H65" s="170"/>
      <x:c r="I65" s="173" t="str">
        <x:f>IF(A65="","",IF(OR(P65&lt;&gt;"",COUNTIFS(Lotes!$B$5:$B$204,A65,Lotes!$U$5:$U$204,1)&gt;0,Listas!$B$13&lt;&gt;"OK"),"n.a.",SUMIFS(Lotes!$J$5:$J$204,Lotes!$B$5:$B$204,A65)))</x:f>
      </x:c>
      <x:c r="J65" s="174" t="str">
        <x:f>IF(A65="","",IF(OR(P65&lt;&gt;"",COUNTIFS(Lotes!$B$5:$B$204,A65,Lotes!$U$5:$U$204,1)&gt;0,Listas!$B$13&lt;&gt;"OK"),"n.a.",SUMIFS(Lotes!$L$5:$L$204,Lotes!$B$5:$B$204,A65)))</x:f>
      </x:c>
      <x:c r="K65" s="173" t="str">
        <x:f>IF(A65="","",IF(OR(P65&lt;&gt;"",COUNTIFS(Lotes!$B$5:$B$204,A65,Lotes!$U$5:$U$204,1)&gt;0,Listas!$B$13&lt;&gt;"OK"),"n.a.",COUNTIFS(Lotes!$B$5:$B$204,A65,Lotes!$J$5:$J$204,"&gt;0")))</x:f>
      </x:c>
      <x:c r="L65" s="173" t="str">
        <x:f>IF(A65="","",IF(OR(P65&lt;&gt;"",COUNTIFS(Lotes!$B$5:$B$204,A65,Lotes!$U$5:$U$204,1)&gt;0,Listas!$B$13&lt;&gt;"OK"),"n.a.",COUNTIFS(Lotes!$B$5:$B$204,A65,Lotes!$J$5:$J$204,"&gt;0",Lotes!$N$5:$N$204,"VENCIDO")))</x:f>
      </x:c>
      <x:c r="M65" s="173" t="str">
        <x:f>IF(A65="","",IF(OR(P65&lt;&gt;"",COUNTIFS(Lotes!$B$5:$B$204,A65,Lotes!$U$5:$U$204,1)&gt;0,Listas!$B$13&lt;&gt;"OK"),"n.a.",COUNTIFS(Lotes!$B$5:$B$204,A65,Lotes!$J$5:$J$204,"&gt;0",Lotes!$N$5:$N$204,"CRÍTICO")+COUNTIFS(Lotes!$B$5:$B$204,A65,Lotes!$J$5:$J$204,"&gt;0",Lotes!$N$5:$N$204,"VENCE NA JANELA")))</x:f>
      </x:c>
      <x:c r="N65" s="173" t="str">
        <x:f>IF(A65="","",IF(OR(P65&lt;&gt;"",COUNTIFS(Lotes!$B$5:$B$204,A65,Lotes!$U$5:$U$204,1)&gt;0,Listas!$B$13&lt;&gt;"OK"),"REVISAR DADOS",IF(H65="Inativo","INATIVO",IF(Q65&lt;=F65,"REPOR","OK"))))</x:f>
      </x:c>
      <x:c r="O65" s="27"/>
      <x:c r="P65" s="163" t="str">
        <x:f>IF(COUNTA(A65:H65,O65)=0,"",IF(OR(A65="",COUNTIFS($A$5:$A$204,A65)&lt;&gt;1),"SKU ausente ou duplicado",IF(OR(B65="",D65=""),"Produto ou unidade ausente",IF(OR(NOT(ISNUMBER(F65)),F65&lt;0,NOT(ISNUMBER(G65)),G65&lt;0),"Mínimo ou custo inválido",IF(AND(H65&lt;&gt;"Ativo",H65&lt;&gt;"Inativo"),"Status de produto inválido","")))))</x:f>
      </x:c>
      <x:c r="Q65" s="163" t="str">
        <x:f>IF(A65="","",IF(OR(P65&lt;&gt;"",COUNTIFS(Lotes!$B$5:$B$204,A65,Lotes!$U$5:$U$204,1)&gt;0,Listas!$B$13&lt;&gt;"OK"),"n.a.",SUMIFS(Lotes!$V$5:$V$204,Lotes!$B$5:$B$204,A65)))</x:f>
      </x:c>
      <x:c r="R65" s="163" t="n">
        <x:f>IF(P65="",0,1)</x:f>
        <x:v>0</x:v>
      </x:c>
      <x:c r="S65" s="163" t="n">
        <x:f>IF(COUNTA(A65:H65,O65)=0,0,IF(OR(Listas!$B$19="Todos",A65=Listas!$B$19,A65=""),1,0))</x:f>
        <x:v>0</x:v>
      </x:c>
      <x:c r="T65" s="163" t="n">
        <x:f>IF(S65=1,COUNTIFS($S$5:S65,1),0)</x:f>
        <x:v>0</x:v>
      </x:c>
      <x:c r="U65" s="1"/>
      <x:c r="V65" s="1"/>
      <x:c r="W65" s="1"/>
    </x:row>
    <x:row r="66" ht="32" customHeight="1">
      <x:c r="A66" s="170"/>
      <x:c r="B66" s="170"/>
      <x:c r="C66" s="170"/>
      <x:c r="D66" s="170"/>
      <x:c r="E66" s="170"/>
      <x:c r="F66" s="171"/>
      <x:c r="G66" s="172"/>
      <x:c r="H66" s="170"/>
      <x:c r="I66" s="173" t="str">
        <x:f>IF(A66="","",IF(OR(P66&lt;&gt;"",COUNTIFS(Lotes!$B$5:$B$204,A66,Lotes!$U$5:$U$204,1)&gt;0,Listas!$B$13&lt;&gt;"OK"),"n.a.",SUMIFS(Lotes!$J$5:$J$204,Lotes!$B$5:$B$204,A66)))</x:f>
      </x:c>
      <x:c r="J66" s="174" t="str">
        <x:f>IF(A66="","",IF(OR(P66&lt;&gt;"",COUNTIFS(Lotes!$B$5:$B$204,A66,Lotes!$U$5:$U$204,1)&gt;0,Listas!$B$13&lt;&gt;"OK"),"n.a.",SUMIFS(Lotes!$L$5:$L$204,Lotes!$B$5:$B$204,A66)))</x:f>
      </x:c>
      <x:c r="K66" s="173" t="str">
        <x:f>IF(A66="","",IF(OR(P66&lt;&gt;"",COUNTIFS(Lotes!$B$5:$B$204,A66,Lotes!$U$5:$U$204,1)&gt;0,Listas!$B$13&lt;&gt;"OK"),"n.a.",COUNTIFS(Lotes!$B$5:$B$204,A66,Lotes!$J$5:$J$204,"&gt;0")))</x:f>
      </x:c>
      <x:c r="L66" s="173" t="str">
        <x:f>IF(A66="","",IF(OR(P66&lt;&gt;"",COUNTIFS(Lotes!$B$5:$B$204,A66,Lotes!$U$5:$U$204,1)&gt;0,Listas!$B$13&lt;&gt;"OK"),"n.a.",COUNTIFS(Lotes!$B$5:$B$204,A66,Lotes!$J$5:$J$204,"&gt;0",Lotes!$N$5:$N$204,"VENCIDO")))</x:f>
      </x:c>
      <x:c r="M66" s="173" t="str">
        <x:f>IF(A66="","",IF(OR(P66&lt;&gt;"",COUNTIFS(Lotes!$B$5:$B$204,A66,Lotes!$U$5:$U$204,1)&gt;0,Listas!$B$13&lt;&gt;"OK"),"n.a.",COUNTIFS(Lotes!$B$5:$B$204,A66,Lotes!$J$5:$J$204,"&gt;0",Lotes!$N$5:$N$204,"CRÍTICO")+COUNTIFS(Lotes!$B$5:$B$204,A66,Lotes!$J$5:$J$204,"&gt;0",Lotes!$N$5:$N$204,"VENCE NA JANELA")))</x:f>
      </x:c>
      <x:c r="N66" s="173" t="str">
        <x:f>IF(A66="","",IF(OR(P66&lt;&gt;"",COUNTIFS(Lotes!$B$5:$B$204,A66,Lotes!$U$5:$U$204,1)&gt;0,Listas!$B$13&lt;&gt;"OK"),"REVISAR DADOS",IF(H66="Inativo","INATIVO",IF(Q66&lt;=F66,"REPOR","OK"))))</x:f>
      </x:c>
      <x:c r="O66" s="27"/>
      <x:c r="P66" s="163" t="str">
        <x:f>IF(COUNTA(A66:H66,O66)=0,"",IF(OR(A66="",COUNTIFS($A$5:$A$204,A66)&lt;&gt;1),"SKU ausente ou duplicado",IF(OR(B66="",D66=""),"Produto ou unidade ausente",IF(OR(NOT(ISNUMBER(F66)),F66&lt;0,NOT(ISNUMBER(G66)),G66&lt;0),"Mínimo ou custo inválido",IF(AND(H66&lt;&gt;"Ativo",H66&lt;&gt;"Inativo"),"Status de produto inválido","")))))</x:f>
      </x:c>
      <x:c r="Q66" s="163" t="str">
        <x:f>IF(A66="","",IF(OR(P66&lt;&gt;"",COUNTIFS(Lotes!$B$5:$B$204,A66,Lotes!$U$5:$U$204,1)&gt;0,Listas!$B$13&lt;&gt;"OK"),"n.a.",SUMIFS(Lotes!$V$5:$V$204,Lotes!$B$5:$B$204,A66)))</x:f>
      </x:c>
      <x:c r="R66" s="163" t="n">
        <x:f>IF(P66="",0,1)</x:f>
        <x:v>0</x:v>
      </x:c>
      <x:c r="S66" s="163" t="n">
        <x:f>IF(COUNTA(A66:H66,O66)=0,0,IF(OR(Listas!$B$19="Todos",A66=Listas!$B$19,A66=""),1,0))</x:f>
        <x:v>0</x:v>
      </x:c>
      <x:c r="T66" s="163" t="n">
        <x:f>IF(S66=1,COUNTIFS($S$5:S66,1),0)</x:f>
        <x:v>0</x:v>
      </x:c>
      <x:c r="U66" s="1"/>
      <x:c r="V66" s="1"/>
      <x:c r="W66" s="1"/>
    </x:row>
    <x:row r="67" ht="32" customHeight="1">
      <x:c r="A67" s="170"/>
      <x:c r="B67" s="170"/>
      <x:c r="C67" s="170"/>
      <x:c r="D67" s="170"/>
      <x:c r="E67" s="170"/>
      <x:c r="F67" s="171"/>
      <x:c r="G67" s="172"/>
      <x:c r="H67" s="170"/>
      <x:c r="I67" s="173" t="str">
        <x:f>IF(A67="","",IF(OR(P67&lt;&gt;"",COUNTIFS(Lotes!$B$5:$B$204,A67,Lotes!$U$5:$U$204,1)&gt;0,Listas!$B$13&lt;&gt;"OK"),"n.a.",SUMIFS(Lotes!$J$5:$J$204,Lotes!$B$5:$B$204,A67)))</x:f>
      </x:c>
      <x:c r="J67" s="174" t="str">
        <x:f>IF(A67="","",IF(OR(P67&lt;&gt;"",COUNTIFS(Lotes!$B$5:$B$204,A67,Lotes!$U$5:$U$204,1)&gt;0,Listas!$B$13&lt;&gt;"OK"),"n.a.",SUMIFS(Lotes!$L$5:$L$204,Lotes!$B$5:$B$204,A67)))</x:f>
      </x:c>
      <x:c r="K67" s="173" t="str">
        <x:f>IF(A67="","",IF(OR(P67&lt;&gt;"",COUNTIFS(Lotes!$B$5:$B$204,A67,Lotes!$U$5:$U$204,1)&gt;0,Listas!$B$13&lt;&gt;"OK"),"n.a.",COUNTIFS(Lotes!$B$5:$B$204,A67,Lotes!$J$5:$J$204,"&gt;0")))</x:f>
      </x:c>
      <x:c r="L67" s="173" t="str">
        <x:f>IF(A67="","",IF(OR(P67&lt;&gt;"",COUNTIFS(Lotes!$B$5:$B$204,A67,Lotes!$U$5:$U$204,1)&gt;0,Listas!$B$13&lt;&gt;"OK"),"n.a.",COUNTIFS(Lotes!$B$5:$B$204,A67,Lotes!$J$5:$J$204,"&gt;0",Lotes!$N$5:$N$204,"VENCIDO")))</x:f>
      </x:c>
      <x:c r="M67" s="173" t="str">
        <x:f>IF(A67="","",IF(OR(P67&lt;&gt;"",COUNTIFS(Lotes!$B$5:$B$204,A67,Lotes!$U$5:$U$204,1)&gt;0,Listas!$B$13&lt;&gt;"OK"),"n.a.",COUNTIFS(Lotes!$B$5:$B$204,A67,Lotes!$J$5:$J$204,"&gt;0",Lotes!$N$5:$N$204,"CRÍTICO")+COUNTIFS(Lotes!$B$5:$B$204,A67,Lotes!$J$5:$J$204,"&gt;0",Lotes!$N$5:$N$204,"VENCE NA JANELA")))</x:f>
      </x:c>
      <x:c r="N67" s="173" t="str">
        <x:f>IF(A67="","",IF(OR(P67&lt;&gt;"",COUNTIFS(Lotes!$B$5:$B$204,A67,Lotes!$U$5:$U$204,1)&gt;0,Listas!$B$13&lt;&gt;"OK"),"REVISAR DADOS",IF(H67="Inativo","INATIVO",IF(Q67&lt;=F67,"REPOR","OK"))))</x:f>
      </x:c>
      <x:c r="O67" s="27"/>
      <x:c r="P67" s="163" t="str">
        <x:f>IF(COUNTA(A67:H67,O67)=0,"",IF(OR(A67="",COUNTIFS($A$5:$A$204,A67)&lt;&gt;1),"SKU ausente ou duplicado",IF(OR(B67="",D67=""),"Produto ou unidade ausente",IF(OR(NOT(ISNUMBER(F67)),F67&lt;0,NOT(ISNUMBER(G67)),G67&lt;0),"Mínimo ou custo inválido",IF(AND(H67&lt;&gt;"Ativo",H67&lt;&gt;"Inativo"),"Status de produto inválido","")))))</x:f>
      </x:c>
      <x:c r="Q67" s="163" t="str">
        <x:f>IF(A67="","",IF(OR(P67&lt;&gt;"",COUNTIFS(Lotes!$B$5:$B$204,A67,Lotes!$U$5:$U$204,1)&gt;0,Listas!$B$13&lt;&gt;"OK"),"n.a.",SUMIFS(Lotes!$V$5:$V$204,Lotes!$B$5:$B$204,A67)))</x:f>
      </x:c>
      <x:c r="R67" s="163" t="n">
        <x:f>IF(P67="",0,1)</x:f>
        <x:v>0</x:v>
      </x:c>
      <x:c r="S67" s="163" t="n">
        <x:f>IF(COUNTA(A67:H67,O67)=0,0,IF(OR(Listas!$B$19="Todos",A67=Listas!$B$19,A67=""),1,0))</x:f>
        <x:v>0</x:v>
      </x:c>
      <x:c r="T67" s="163" t="n">
        <x:f>IF(S67=1,COUNTIFS($S$5:S67,1),0)</x:f>
        <x:v>0</x:v>
      </x:c>
      <x:c r="U67" s="1"/>
      <x:c r="V67" s="1"/>
      <x:c r="W67" s="1"/>
    </x:row>
    <x:row r="68" ht="32" customHeight="1">
      <x:c r="A68" s="170"/>
      <x:c r="B68" s="170"/>
      <x:c r="C68" s="170"/>
      <x:c r="D68" s="170"/>
      <x:c r="E68" s="170"/>
      <x:c r="F68" s="171"/>
      <x:c r="G68" s="172"/>
      <x:c r="H68" s="170"/>
      <x:c r="I68" s="173" t="str">
        <x:f>IF(A68="","",IF(OR(P68&lt;&gt;"",COUNTIFS(Lotes!$B$5:$B$204,A68,Lotes!$U$5:$U$204,1)&gt;0,Listas!$B$13&lt;&gt;"OK"),"n.a.",SUMIFS(Lotes!$J$5:$J$204,Lotes!$B$5:$B$204,A68)))</x:f>
      </x:c>
      <x:c r="J68" s="174" t="str">
        <x:f>IF(A68="","",IF(OR(P68&lt;&gt;"",COUNTIFS(Lotes!$B$5:$B$204,A68,Lotes!$U$5:$U$204,1)&gt;0,Listas!$B$13&lt;&gt;"OK"),"n.a.",SUMIFS(Lotes!$L$5:$L$204,Lotes!$B$5:$B$204,A68)))</x:f>
      </x:c>
      <x:c r="K68" s="173" t="str">
        <x:f>IF(A68="","",IF(OR(P68&lt;&gt;"",COUNTIFS(Lotes!$B$5:$B$204,A68,Lotes!$U$5:$U$204,1)&gt;0,Listas!$B$13&lt;&gt;"OK"),"n.a.",COUNTIFS(Lotes!$B$5:$B$204,A68,Lotes!$J$5:$J$204,"&gt;0")))</x:f>
      </x:c>
      <x:c r="L68" s="173" t="str">
        <x:f>IF(A68="","",IF(OR(P68&lt;&gt;"",COUNTIFS(Lotes!$B$5:$B$204,A68,Lotes!$U$5:$U$204,1)&gt;0,Listas!$B$13&lt;&gt;"OK"),"n.a.",COUNTIFS(Lotes!$B$5:$B$204,A68,Lotes!$J$5:$J$204,"&gt;0",Lotes!$N$5:$N$204,"VENCIDO")))</x:f>
      </x:c>
      <x:c r="M68" s="173" t="str">
        <x:f>IF(A68="","",IF(OR(P68&lt;&gt;"",COUNTIFS(Lotes!$B$5:$B$204,A68,Lotes!$U$5:$U$204,1)&gt;0,Listas!$B$13&lt;&gt;"OK"),"n.a.",COUNTIFS(Lotes!$B$5:$B$204,A68,Lotes!$J$5:$J$204,"&gt;0",Lotes!$N$5:$N$204,"CRÍTICO")+COUNTIFS(Lotes!$B$5:$B$204,A68,Lotes!$J$5:$J$204,"&gt;0",Lotes!$N$5:$N$204,"VENCE NA JANELA")))</x:f>
      </x:c>
      <x:c r="N68" s="173" t="str">
        <x:f>IF(A68="","",IF(OR(P68&lt;&gt;"",COUNTIFS(Lotes!$B$5:$B$204,A68,Lotes!$U$5:$U$204,1)&gt;0,Listas!$B$13&lt;&gt;"OK"),"REVISAR DADOS",IF(H68="Inativo","INATIVO",IF(Q68&lt;=F68,"REPOR","OK"))))</x:f>
      </x:c>
      <x:c r="O68" s="27"/>
      <x:c r="P68" s="163" t="str">
        <x:f>IF(COUNTA(A68:H68,O68)=0,"",IF(OR(A68="",COUNTIFS($A$5:$A$204,A68)&lt;&gt;1),"SKU ausente ou duplicado",IF(OR(B68="",D68=""),"Produto ou unidade ausente",IF(OR(NOT(ISNUMBER(F68)),F68&lt;0,NOT(ISNUMBER(G68)),G68&lt;0),"Mínimo ou custo inválido",IF(AND(H68&lt;&gt;"Ativo",H68&lt;&gt;"Inativo"),"Status de produto inválido","")))))</x:f>
      </x:c>
      <x:c r="Q68" s="163" t="str">
        <x:f>IF(A68="","",IF(OR(P68&lt;&gt;"",COUNTIFS(Lotes!$B$5:$B$204,A68,Lotes!$U$5:$U$204,1)&gt;0,Listas!$B$13&lt;&gt;"OK"),"n.a.",SUMIFS(Lotes!$V$5:$V$204,Lotes!$B$5:$B$204,A68)))</x:f>
      </x:c>
      <x:c r="R68" s="163" t="n">
        <x:f>IF(P68="",0,1)</x:f>
        <x:v>0</x:v>
      </x:c>
      <x:c r="S68" s="163" t="n">
        <x:f>IF(COUNTA(A68:H68,O68)=0,0,IF(OR(Listas!$B$19="Todos",A68=Listas!$B$19,A68=""),1,0))</x:f>
        <x:v>0</x:v>
      </x:c>
      <x:c r="T68" s="163" t="n">
        <x:f>IF(S68=1,COUNTIFS($S$5:S68,1),0)</x:f>
        <x:v>0</x:v>
      </x:c>
      <x:c r="U68" s="1"/>
      <x:c r="V68" s="1"/>
      <x:c r="W68" s="1"/>
    </x:row>
    <x:row r="69" ht="32" customHeight="1">
      <x:c r="A69" s="170"/>
      <x:c r="B69" s="170"/>
      <x:c r="C69" s="170"/>
      <x:c r="D69" s="170"/>
      <x:c r="E69" s="170"/>
      <x:c r="F69" s="171"/>
      <x:c r="G69" s="172"/>
      <x:c r="H69" s="170"/>
      <x:c r="I69" s="173" t="str">
        <x:f>IF(A69="","",IF(OR(P69&lt;&gt;"",COUNTIFS(Lotes!$B$5:$B$204,A69,Lotes!$U$5:$U$204,1)&gt;0,Listas!$B$13&lt;&gt;"OK"),"n.a.",SUMIFS(Lotes!$J$5:$J$204,Lotes!$B$5:$B$204,A69)))</x:f>
      </x:c>
      <x:c r="J69" s="174" t="str">
        <x:f>IF(A69="","",IF(OR(P69&lt;&gt;"",COUNTIFS(Lotes!$B$5:$B$204,A69,Lotes!$U$5:$U$204,1)&gt;0,Listas!$B$13&lt;&gt;"OK"),"n.a.",SUMIFS(Lotes!$L$5:$L$204,Lotes!$B$5:$B$204,A69)))</x:f>
      </x:c>
      <x:c r="K69" s="173" t="str">
        <x:f>IF(A69="","",IF(OR(P69&lt;&gt;"",COUNTIFS(Lotes!$B$5:$B$204,A69,Lotes!$U$5:$U$204,1)&gt;0,Listas!$B$13&lt;&gt;"OK"),"n.a.",COUNTIFS(Lotes!$B$5:$B$204,A69,Lotes!$J$5:$J$204,"&gt;0")))</x:f>
      </x:c>
      <x:c r="L69" s="173" t="str">
        <x:f>IF(A69="","",IF(OR(P69&lt;&gt;"",COUNTIFS(Lotes!$B$5:$B$204,A69,Lotes!$U$5:$U$204,1)&gt;0,Listas!$B$13&lt;&gt;"OK"),"n.a.",COUNTIFS(Lotes!$B$5:$B$204,A69,Lotes!$J$5:$J$204,"&gt;0",Lotes!$N$5:$N$204,"VENCIDO")))</x:f>
      </x:c>
      <x:c r="M69" s="173" t="str">
        <x:f>IF(A69="","",IF(OR(P69&lt;&gt;"",COUNTIFS(Lotes!$B$5:$B$204,A69,Lotes!$U$5:$U$204,1)&gt;0,Listas!$B$13&lt;&gt;"OK"),"n.a.",COUNTIFS(Lotes!$B$5:$B$204,A69,Lotes!$J$5:$J$204,"&gt;0",Lotes!$N$5:$N$204,"CRÍTICO")+COUNTIFS(Lotes!$B$5:$B$204,A69,Lotes!$J$5:$J$204,"&gt;0",Lotes!$N$5:$N$204,"VENCE NA JANELA")))</x:f>
      </x:c>
      <x:c r="N69" s="173" t="str">
        <x:f>IF(A69="","",IF(OR(P69&lt;&gt;"",COUNTIFS(Lotes!$B$5:$B$204,A69,Lotes!$U$5:$U$204,1)&gt;0,Listas!$B$13&lt;&gt;"OK"),"REVISAR DADOS",IF(H69="Inativo","INATIVO",IF(Q69&lt;=F69,"REPOR","OK"))))</x:f>
      </x:c>
      <x:c r="O69" s="27"/>
      <x:c r="P69" s="163" t="str">
        <x:f>IF(COUNTA(A69:H69,O69)=0,"",IF(OR(A69="",COUNTIFS($A$5:$A$204,A69)&lt;&gt;1),"SKU ausente ou duplicado",IF(OR(B69="",D69=""),"Produto ou unidade ausente",IF(OR(NOT(ISNUMBER(F69)),F69&lt;0,NOT(ISNUMBER(G69)),G69&lt;0),"Mínimo ou custo inválido",IF(AND(H69&lt;&gt;"Ativo",H69&lt;&gt;"Inativo"),"Status de produto inválido","")))))</x:f>
      </x:c>
      <x:c r="Q69" s="163" t="str">
        <x:f>IF(A69="","",IF(OR(P69&lt;&gt;"",COUNTIFS(Lotes!$B$5:$B$204,A69,Lotes!$U$5:$U$204,1)&gt;0,Listas!$B$13&lt;&gt;"OK"),"n.a.",SUMIFS(Lotes!$V$5:$V$204,Lotes!$B$5:$B$204,A69)))</x:f>
      </x:c>
      <x:c r="R69" s="163" t="n">
        <x:f>IF(P69="",0,1)</x:f>
        <x:v>0</x:v>
      </x:c>
      <x:c r="S69" s="163" t="n">
        <x:f>IF(COUNTA(A69:H69,O69)=0,0,IF(OR(Listas!$B$19="Todos",A69=Listas!$B$19,A69=""),1,0))</x:f>
        <x:v>0</x:v>
      </x:c>
      <x:c r="T69" s="163" t="n">
        <x:f>IF(S69=1,COUNTIFS($S$5:S69,1),0)</x:f>
        <x:v>0</x:v>
      </x:c>
      <x:c r="U69" s="1"/>
      <x:c r="V69" s="1"/>
      <x:c r="W69" s="1"/>
    </x:row>
    <x:row r="70" ht="32" customHeight="1">
      <x:c r="A70" s="170"/>
      <x:c r="B70" s="170"/>
      <x:c r="C70" s="170"/>
      <x:c r="D70" s="170"/>
      <x:c r="E70" s="170"/>
      <x:c r="F70" s="171"/>
      <x:c r="G70" s="172"/>
      <x:c r="H70" s="170"/>
      <x:c r="I70" s="173" t="str">
        <x:f>IF(A70="","",IF(OR(P70&lt;&gt;"",COUNTIFS(Lotes!$B$5:$B$204,A70,Lotes!$U$5:$U$204,1)&gt;0,Listas!$B$13&lt;&gt;"OK"),"n.a.",SUMIFS(Lotes!$J$5:$J$204,Lotes!$B$5:$B$204,A70)))</x:f>
      </x:c>
      <x:c r="J70" s="174" t="str">
        <x:f>IF(A70="","",IF(OR(P70&lt;&gt;"",COUNTIFS(Lotes!$B$5:$B$204,A70,Lotes!$U$5:$U$204,1)&gt;0,Listas!$B$13&lt;&gt;"OK"),"n.a.",SUMIFS(Lotes!$L$5:$L$204,Lotes!$B$5:$B$204,A70)))</x:f>
      </x:c>
      <x:c r="K70" s="173" t="str">
        <x:f>IF(A70="","",IF(OR(P70&lt;&gt;"",COUNTIFS(Lotes!$B$5:$B$204,A70,Lotes!$U$5:$U$204,1)&gt;0,Listas!$B$13&lt;&gt;"OK"),"n.a.",COUNTIFS(Lotes!$B$5:$B$204,A70,Lotes!$J$5:$J$204,"&gt;0")))</x:f>
      </x:c>
      <x:c r="L70" s="173" t="str">
        <x:f>IF(A70="","",IF(OR(P70&lt;&gt;"",COUNTIFS(Lotes!$B$5:$B$204,A70,Lotes!$U$5:$U$204,1)&gt;0,Listas!$B$13&lt;&gt;"OK"),"n.a.",COUNTIFS(Lotes!$B$5:$B$204,A70,Lotes!$J$5:$J$204,"&gt;0",Lotes!$N$5:$N$204,"VENCIDO")))</x:f>
      </x:c>
      <x:c r="M70" s="173" t="str">
        <x:f>IF(A70="","",IF(OR(P70&lt;&gt;"",COUNTIFS(Lotes!$B$5:$B$204,A70,Lotes!$U$5:$U$204,1)&gt;0,Listas!$B$13&lt;&gt;"OK"),"n.a.",COUNTIFS(Lotes!$B$5:$B$204,A70,Lotes!$J$5:$J$204,"&gt;0",Lotes!$N$5:$N$204,"CRÍTICO")+COUNTIFS(Lotes!$B$5:$B$204,A70,Lotes!$J$5:$J$204,"&gt;0",Lotes!$N$5:$N$204,"VENCE NA JANELA")))</x:f>
      </x:c>
      <x:c r="N70" s="173" t="str">
        <x:f>IF(A70="","",IF(OR(P70&lt;&gt;"",COUNTIFS(Lotes!$B$5:$B$204,A70,Lotes!$U$5:$U$204,1)&gt;0,Listas!$B$13&lt;&gt;"OK"),"REVISAR DADOS",IF(H70="Inativo","INATIVO",IF(Q70&lt;=F70,"REPOR","OK"))))</x:f>
      </x:c>
      <x:c r="O70" s="27"/>
      <x:c r="P70" s="163" t="str">
        <x:f>IF(COUNTA(A70:H70,O70)=0,"",IF(OR(A70="",COUNTIFS($A$5:$A$204,A70)&lt;&gt;1),"SKU ausente ou duplicado",IF(OR(B70="",D70=""),"Produto ou unidade ausente",IF(OR(NOT(ISNUMBER(F70)),F70&lt;0,NOT(ISNUMBER(G70)),G70&lt;0),"Mínimo ou custo inválido",IF(AND(H70&lt;&gt;"Ativo",H70&lt;&gt;"Inativo"),"Status de produto inválido","")))))</x:f>
      </x:c>
      <x:c r="Q70" s="163" t="str">
        <x:f>IF(A70="","",IF(OR(P70&lt;&gt;"",COUNTIFS(Lotes!$B$5:$B$204,A70,Lotes!$U$5:$U$204,1)&gt;0,Listas!$B$13&lt;&gt;"OK"),"n.a.",SUMIFS(Lotes!$V$5:$V$204,Lotes!$B$5:$B$204,A70)))</x:f>
      </x:c>
      <x:c r="R70" s="163" t="n">
        <x:f>IF(P70="",0,1)</x:f>
        <x:v>0</x:v>
      </x:c>
      <x:c r="S70" s="163" t="n">
        <x:f>IF(COUNTA(A70:H70,O70)=0,0,IF(OR(Listas!$B$19="Todos",A70=Listas!$B$19,A70=""),1,0))</x:f>
        <x:v>0</x:v>
      </x:c>
      <x:c r="T70" s="163" t="n">
        <x:f>IF(S70=1,COUNTIFS($S$5:S70,1),0)</x:f>
        <x:v>0</x:v>
      </x:c>
      <x:c r="U70" s="1"/>
      <x:c r="V70" s="1"/>
      <x:c r="W70" s="1"/>
    </x:row>
    <x:row r="71" ht="32" customHeight="1">
      <x:c r="A71" s="170"/>
      <x:c r="B71" s="170"/>
      <x:c r="C71" s="170"/>
      <x:c r="D71" s="170"/>
      <x:c r="E71" s="170"/>
      <x:c r="F71" s="171"/>
      <x:c r="G71" s="172"/>
      <x:c r="H71" s="170"/>
      <x:c r="I71" s="173" t="str">
        <x:f>IF(A71="","",IF(OR(P71&lt;&gt;"",COUNTIFS(Lotes!$B$5:$B$204,A71,Lotes!$U$5:$U$204,1)&gt;0,Listas!$B$13&lt;&gt;"OK"),"n.a.",SUMIFS(Lotes!$J$5:$J$204,Lotes!$B$5:$B$204,A71)))</x:f>
      </x:c>
      <x:c r="J71" s="174" t="str">
        <x:f>IF(A71="","",IF(OR(P71&lt;&gt;"",COUNTIFS(Lotes!$B$5:$B$204,A71,Lotes!$U$5:$U$204,1)&gt;0,Listas!$B$13&lt;&gt;"OK"),"n.a.",SUMIFS(Lotes!$L$5:$L$204,Lotes!$B$5:$B$204,A71)))</x:f>
      </x:c>
      <x:c r="K71" s="173" t="str">
        <x:f>IF(A71="","",IF(OR(P71&lt;&gt;"",COUNTIFS(Lotes!$B$5:$B$204,A71,Lotes!$U$5:$U$204,1)&gt;0,Listas!$B$13&lt;&gt;"OK"),"n.a.",COUNTIFS(Lotes!$B$5:$B$204,A71,Lotes!$J$5:$J$204,"&gt;0")))</x:f>
      </x:c>
      <x:c r="L71" s="173" t="str">
        <x:f>IF(A71="","",IF(OR(P71&lt;&gt;"",COUNTIFS(Lotes!$B$5:$B$204,A71,Lotes!$U$5:$U$204,1)&gt;0,Listas!$B$13&lt;&gt;"OK"),"n.a.",COUNTIFS(Lotes!$B$5:$B$204,A71,Lotes!$J$5:$J$204,"&gt;0",Lotes!$N$5:$N$204,"VENCIDO")))</x:f>
      </x:c>
      <x:c r="M71" s="173" t="str">
        <x:f>IF(A71="","",IF(OR(P71&lt;&gt;"",COUNTIFS(Lotes!$B$5:$B$204,A71,Lotes!$U$5:$U$204,1)&gt;0,Listas!$B$13&lt;&gt;"OK"),"n.a.",COUNTIFS(Lotes!$B$5:$B$204,A71,Lotes!$J$5:$J$204,"&gt;0",Lotes!$N$5:$N$204,"CRÍTICO")+COUNTIFS(Lotes!$B$5:$B$204,A71,Lotes!$J$5:$J$204,"&gt;0",Lotes!$N$5:$N$204,"VENCE NA JANELA")))</x:f>
      </x:c>
      <x:c r="N71" s="173" t="str">
        <x:f>IF(A71="","",IF(OR(P71&lt;&gt;"",COUNTIFS(Lotes!$B$5:$B$204,A71,Lotes!$U$5:$U$204,1)&gt;0,Listas!$B$13&lt;&gt;"OK"),"REVISAR DADOS",IF(H71="Inativo","INATIVO",IF(Q71&lt;=F71,"REPOR","OK"))))</x:f>
      </x:c>
      <x:c r="O71" s="27"/>
      <x:c r="P71" s="163" t="str">
        <x:f>IF(COUNTA(A71:H71,O71)=0,"",IF(OR(A71="",COUNTIFS($A$5:$A$204,A71)&lt;&gt;1),"SKU ausente ou duplicado",IF(OR(B71="",D71=""),"Produto ou unidade ausente",IF(OR(NOT(ISNUMBER(F71)),F71&lt;0,NOT(ISNUMBER(G71)),G71&lt;0),"Mínimo ou custo inválido",IF(AND(H71&lt;&gt;"Ativo",H71&lt;&gt;"Inativo"),"Status de produto inválido","")))))</x:f>
      </x:c>
      <x:c r="Q71" s="163" t="str">
        <x:f>IF(A71="","",IF(OR(P71&lt;&gt;"",COUNTIFS(Lotes!$B$5:$B$204,A71,Lotes!$U$5:$U$204,1)&gt;0,Listas!$B$13&lt;&gt;"OK"),"n.a.",SUMIFS(Lotes!$V$5:$V$204,Lotes!$B$5:$B$204,A71)))</x:f>
      </x:c>
      <x:c r="R71" s="163" t="n">
        <x:f>IF(P71="",0,1)</x:f>
        <x:v>0</x:v>
      </x:c>
      <x:c r="S71" s="163" t="n">
        <x:f>IF(COUNTA(A71:H71,O71)=0,0,IF(OR(Listas!$B$19="Todos",A71=Listas!$B$19,A71=""),1,0))</x:f>
        <x:v>0</x:v>
      </x:c>
      <x:c r="T71" s="163" t="n">
        <x:f>IF(S71=1,COUNTIFS($S$5:S71,1),0)</x:f>
        <x:v>0</x:v>
      </x:c>
      <x:c r="U71" s="1"/>
      <x:c r="V71" s="1"/>
      <x:c r="W71" s="1"/>
    </x:row>
    <x:row r="72" ht="32" customHeight="1">
      <x:c r="A72" s="170"/>
      <x:c r="B72" s="170"/>
      <x:c r="C72" s="170"/>
      <x:c r="D72" s="170"/>
      <x:c r="E72" s="170"/>
      <x:c r="F72" s="171"/>
      <x:c r="G72" s="172"/>
      <x:c r="H72" s="170"/>
      <x:c r="I72" s="173" t="str">
        <x:f>IF(A72="","",IF(OR(P72&lt;&gt;"",COUNTIFS(Lotes!$B$5:$B$204,A72,Lotes!$U$5:$U$204,1)&gt;0,Listas!$B$13&lt;&gt;"OK"),"n.a.",SUMIFS(Lotes!$J$5:$J$204,Lotes!$B$5:$B$204,A72)))</x:f>
      </x:c>
      <x:c r="J72" s="174" t="str">
        <x:f>IF(A72="","",IF(OR(P72&lt;&gt;"",COUNTIFS(Lotes!$B$5:$B$204,A72,Lotes!$U$5:$U$204,1)&gt;0,Listas!$B$13&lt;&gt;"OK"),"n.a.",SUMIFS(Lotes!$L$5:$L$204,Lotes!$B$5:$B$204,A72)))</x:f>
      </x:c>
      <x:c r="K72" s="173" t="str">
        <x:f>IF(A72="","",IF(OR(P72&lt;&gt;"",COUNTIFS(Lotes!$B$5:$B$204,A72,Lotes!$U$5:$U$204,1)&gt;0,Listas!$B$13&lt;&gt;"OK"),"n.a.",COUNTIFS(Lotes!$B$5:$B$204,A72,Lotes!$J$5:$J$204,"&gt;0")))</x:f>
      </x:c>
      <x:c r="L72" s="173" t="str">
        <x:f>IF(A72="","",IF(OR(P72&lt;&gt;"",COUNTIFS(Lotes!$B$5:$B$204,A72,Lotes!$U$5:$U$204,1)&gt;0,Listas!$B$13&lt;&gt;"OK"),"n.a.",COUNTIFS(Lotes!$B$5:$B$204,A72,Lotes!$J$5:$J$204,"&gt;0",Lotes!$N$5:$N$204,"VENCIDO")))</x:f>
      </x:c>
      <x:c r="M72" s="173" t="str">
        <x:f>IF(A72="","",IF(OR(P72&lt;&gt;"",COUNTIFS(Lotes!$B$5:$B$204,A72,Lotes!$U$5:$U$204,1)&gt;0,Listas!$B$13&lt;&gt;"OK"),"n.a.",COUNTIFS(Lotes!$B$5:$B$204,A72,Lotes!$J$5:$J$204,"&gt;0",Lotes!$N$5:$N$204,"CRÍTICO")+COUNTIFS(Lotes!$B$5:$B$204,A72,Lotes!$J$5:$J$204,"&gt;0",Lotes!$N$5:$N$204,"VENCE NA JANELA")))</x:f>
      </x:c>
      <x:c r="N72" s="173" t="str">
        <x:f>IF(A72="","",IF(OR(P72&lt;&gt;"",COUNTIFS(Lotes!$B$5:$B$204,A72,Lotes!$U$5:$U$204,1)&gt;0,Listas!$B$13&lt;&gt;"OK"),"REVISAR DADOS",IF(H72="Inativo","INATIVO",IF(Q72&lt;=F72,"REPOR","OK"))))</x:f>
      </x:c>
      <x:c r="O72" s="27"/>
      <x:c r="P72" s="163" t="str">
        <x:f>IF(COUNTA(A72:H72,O72)=0,"",IF(OR(A72="",COUNTIFS($A$5:$A$204,A72)&lt;&gt;1),"SKU ausente ou duplicado",IF(OR(B72="",D72=""),"Produto ou unidade ausente",IF(OR(NOT(ISNUMBER(F72)),F72&lt;0,NOT(ISNUMBER(G72)),G72&lt;0),"Mínimo ou custo inválido",IF(AND(H72&lt;&gt;"Ativo",H72&lt;&gt;"Inativo"),"Status de produto inválido","")))))</x:f>
      </x:c>
      <x:c r="Q72" s="163" t="str">
        <x:f>IF(A72="","",IF(OR(P72&lt;&gt;"",COUNTIFS(Lotes!$B$5:$B$204,A72,Lotes!$U$5:$U$204,1)&gt;0,Listas!$B$13&lt;&gt;"OK"),"n.a.",SUMIFS(Lotes!$V$5:$V$204,Lotes!$B$5:$B$204,A72)))</x:f>
      </x:c>
      <x:c r="R72" s="163" t="n">
        <x:f>IF(P72="",0,1)</x:f>
        <x:v>0</x:v>
      </x:c>
      <x:c r="S72" s="163" t="n">
        <x:f>IF(COUNTA(A72:H72,O72)=0,0,IF(OR(Listas!$B$19="Todos",A72=Listas!$B$19,A72=""),1,0))</x:f>
        <x:v>0</x:v>
      </x:c>
      <x:c r="T72" s="163" t="n">
        <x:f>IF(S72=1,COUNTIFS($S$5:S72,1),0)</x:f>
        <x:v>0</x:v>
      </x:c>
      <x:c r="U72" s="1"/>
      <x:c r="V72" s="1"/>
      <x:c r="W72" s="1"/>
    </x:row>
    <x:row r="73" ht="32" customHeight="1">
      <x:c r="A73" s="170"/>
      <x:c r="B73" s="170"/>
      <x:c r="C73" s="170"/>
      <x:c r="D73" s="170"/>
      <x:c r="E73" s="170"/>
      <x:c r="F73" s="171"/>
      <x:c r="G73" s="172"/>
      <x:c r="H73" s="170"/>
      <x:c r="I73" s="173" t="str">
        <x:f>IF(A73="","",IF(OR(P73&lt;&gt;"",COUNTIFS(Lotes!$B$5:$B$204,A73,Lotes!$U$5:$U$204,1)&gt;0,Listas!$B$13&lt;&gt;"OK"),"n.a.",SUMIFS(Lotes!$J$5:$J$204,Lotes!$B$5:$B$204,A73)))</x:f>
      </x:c>
      <x:c r="J73" s="174" t="str">
        <x:f>IF(A73="","",IF(OR(P73&lt;&gt;"",COUNTIFS(Lotes!$B$5:$B$204,A73,Lotes!$U$5:$U$204,1)&gt;0,Listas!$B$13&lt;&gt;"OK"),"n.a.",SUMIFS(Lotes!$L$5:$L$204,Lotes!$B$5:$B$204,A73)))</x:f>
      </x:c>
      <x:c r="K73" s="173" t="str">
        <x:f>IF(A73="","",IF(OR(P73&lt;&gt;"",COUNTIFS(Lotes!$B$5:$B$204,A73,Lotes!$U$5:$U$204,1)&gt;0,Listas!$B$13&lt;&gt;"OK"),"n.a.",COUNTIFS(Lotes!$B$5:$B$204,A73,Lotes!$J$5:$J$204,"&gt;0")))</x:f>
      </x:c>
      <x:c r="L73" s="173" t="str">
        <x:f>IF(A73="","",IF(OR(P73&lt;&gt;"",COUNTIFS(Lotes!$B$5:$B$204,A73,Lotes!$U$5:$U$204,1)&gt;0,Listas!$B$13&lt;&gt;"OK"),"n.a.",COUNTIFS(Lotes!$B$5:$B$204,A73,Lotes!$J$5:$J$204,"&gt;0",Lotes!$N$5:$N$204,"VENCIDO")))</x:f>
      </x:c>
      <x:c r="M73" s="173" t="str">
        <x:f>IF(A73="","",IF(OR(P73&lt;&gt;"",COUNTIFS(Lotes!$B$5:$B$204,A73,Lotes!$U$5:$U$204,1)&gt;0,Listas!$B$13&lt;&gt;"OK"),"n.a.",COUNTIFS(Lotes!$B$5:$B$204,A73,Lotes!$J$5:$J$204,"&gt;0",Lotes!$N$5:$N$204,"CRÍTICO")+COUNTIFS(Lotes!$B$5:$B$204,A73,Lotes!$J$5:$J$204,"&gt;0",Lotes!$N$5:$N$204,"VENCE NA JANELA")))</x:f>
      </x:c>
      <x:c r="N73" s="173" t="str">
        <x:f>IF(A73="","",IF(OR(P73&lt;&gt;"",COUNTIFS(Lotes!$B$5:$B$204,A73,Lotes!$U$5:$U$204,1)&gt;0,Listas!$B$13&lt;&gt;"OK"),"REVISAR DADOS",IF(H73="Inativo","INATIVO",IF(Q73&lt;=F73,"REPOR","OK"))))</x:f>
      </x:c>
      <x:c r="O73" s="27"/>
      <x:c r="P73" s="163" t="str">
        <x:f>IF(COUNTA(A73:H73,O73)=0,"",IF(OR(A73="",COUNTIFS($A$5:$A$204,A73)&lt;&gt;1),"SKU ausente ou duplicado",IF(OR(B73="",D73=""),"Produto ou unidade ausente",IF(OR(NOT(ISNUMBER(F73)),F73&lt;0,NOT(ISNUMBER(G73)),G73&lt;0),"Mínimo ou custo inválido",IF(AND(H73&lt;&gt;"Ativo",H73&lt;&gt;"Inativo"),"Status de produto inválido","")))))</x:f>
      </x:c>
      <x:c r="Q73" s="163" t="str">
        <x:f>IF(A73="","",IF(OR(P73&lt;&gt;"",COUNTIFS(Lotes!$B$5:$B$204,A73,Lotes!$U$5:$U$204,1)&gt;0,Listas!$B$13&lt;&gt;"OK"),"n.a.",SUMIFS(Lotes!$V$5:$V$204,Lotes!$B$5:$B$204,A73)))</x:f>
      </x:c>
      <x:c r="R73" s="163" t="n">
        <x:f>IF(P73="",0,1)</x:f>
        <x:v>0</x:v>
      </x:c>
      <x:c r="S73" s="163" t="n">
        <x:f>IF(COUNTA(A73:H73,O73)=0,0,IF(OR(Listas!$B$19="Todos",A73=Listas!$B$19,A73=""),1,0))</x:f>
        <x:v>0</x:v>
      </x:c>
      <x:c r="T73" s="163" t="n">
        <x:f>IF(S73=1,COUNTIFS($S$5:S73,1),0)</x:f>
        <x:v>0</x:v>
      </x:c>
      <x:c r="U73" s="1"/>
      <x:c r="V73" s="1"/>
      <x:c r="W73" s="1"/>
    </x:row>
    <x:row r="74" ht="32" customHeight="1">
      <x:c r="A74" s="170"/>
      <x:c r="B74" s="170"/>
      <x:c r="C74" s="170"/>
      <x:c r="D74" s="170"/>
      <x:c r="E74" s="170"/>
      <x:c r="F74" s="171"/>
      <x:c r="G74" s="172"/>
      <x:c r="H74" s="170"/>
      <x:c r="I74" s="173" t="str">
        <x:f>IF(A74="","",IF(OR(P74&lt;&gt;"",COUNTIFS(Lotes!$B$5:$B$204,A74,Lotes!$U$5:$U$204,1)&gt;0,Listas!$B$13&lt;&gt;"OK"),"n.a.",SUMIFS(Lotes!$J$5:$J$204,Lotes!$B$5:$B$204,A74)))</x:f>
      </x:c>
      <x:c r="J74" s="174" t="str">
        <x:f>IF(A74="","",IF(OR(P74&lt;&gt;"",COUNTIFS(Lotes!$B$5:$B$204,A74,Lotes!$U$5:$U$204,1)&gt;0,Listas!$B$13&lt;&gt;"OK"),"n.a.",SUMIFS(Lotes!$L$5:$L$204,Lotes!$B$5:$B$204,A74)))</x:f>
      </x:c>
      <x:c r="K74" s="173" t="str">
        <x:f>IF(A74="","",IF(OR(P74&lt;&gt;"",COUNTIFS(Lotes!$B$5:$B$204,A74,Lotes!$U$5:$U$204,1)&gt;0,Listas!$B$13&lt;&gt;"OK"),"n.a.",COUNTIFS(Lotes!$B$5:$B$204,A74,Lotes!$J$5:$J$204,"&gt;0")))</x:f>
      </x:c>
      <x:c r="L74" s="173" t="str">
        <x:f>IF(A74="","",IF(OR(P74&lt;&gt;"",COUNTIFS(Lotes!$B$5:$B$204,A74,Lotes!$U$5:$U$204,1)&gt;0,Listas!$B$13&lt;&gt;"OK"),"n.a.",COUNTIFS(Lotes!$B$5:$B$204,A74,Lotes!$J$5:$J$204,"&gt;0",Lotes!$N$5:$N$204,"VENCIDO")))</x:f>
      </x:c>
      <x:c r="M74" s="173" t="str">
        <x:f>IF(A74="","",IF(OR(P74&lt;&gt;"",COUNTIFS(Lotes!$B$5:$B$204,A74,Lotes!$U$5:$U$204,1)&gt;0,Listas!$B$13&lt;&gt;"OK"),"n.a.",COUNTIFS(Lotes!$B$5:$B$204,A74,Lotes!$J$5:$J$204,"&gt;0",Lotes!$N$5:$N$204,"CRÍTICO")+COUNTIFS(Lotes!$B$5:$B$204,A74,Lotes!$J$5:$J$204,"&gt;0",Lotes!$N$5:$N$204,"VENCE NA JANELA")))</x:f>
      </x:c>
      <x:c r="N74" s="173" t="str">
        <x:f>IF(A74="","",IF(OR(P74&lt;&gt;"",COUNTIFS(Lotes!$B$5:$B$204,A74,Lotes!$U$5:$U$204,1)&gt;0,Listas!$B$13&lt;&gt;"OK"),"REVISAR DADOS",IF(H74="Inativo","INATIVO",IF(Q74&lt;=F74,"REPOR","OK"))))</x:f>
      </x:c>
      <x:c r="O74" s="27"/>
      <x:c r="P74" s="163" t="str">
        <x:f>IF(COUNTA(A74:H74,O74)=0,"",IF(OR(A74="",COUNTIFS($A$5:$A$204,A74)&lt;&gt;1),"SKU ausente ou duplicado",IF(OR(B74="",D74=""),"Produto ou unidade ausente",IF(OR(NOT(ISNUMBER(F74)),F74&lt;0,NOT(ISNUMBER(G74)),G74&lt;0),"Mínimo ou custo inválido",IF(AND(H74&lt;&gt;"Ativo",H74&lt;&gt;"Inativo"),"Status de produto inválido","")))))</x:f>
      </x:c>
      <x:c r="Q74" s="163" t="str">
        <x:f>IF(A74="","",IF(OR(P74&lt;&gt;"",COUNTIFS(Lotes!$B$5:$B$204,A74,Lotes!$U$5:$U$204,1)&gt;0,Listas!$B$13&lt;&gt;"OK"),"n.a.",SUMIFS(Lotes!$V$5:$V$204,Lotes!$B$5:$B$204,A74)))</x:f>
      </x:c>
      <x:c r="R74" s="163" t="n">
        <x:f>IF(P74="",0,1)</x:f>
        <x:v>0</x:v>
      </x:c>
      <x:c r="S74" s="163" t="n">
        <x:f>IF(COUNTA(A74:H74,O74)=0,0,IF(OR(Listas!$B$19="Todos",A74=Listas!$B$19,A74=""),1,0))</x:f>
        <x:v>0</x:v>
      </x:c>
      <x:c r="T74" s="163" t="n">
        <x:f>IF(S74=1,COUNTIFS($S$5:S74,1),0)</x:f>
        <x:v>0</x:v>
      </x:c>
      <x:c r="U74" s="1"/>
      <x:c r="V74" s="1"/>
      <x:c r="W74" s="1"/>
    </x:row>
    <x:row r="75" ht="32" customHeight="1">
      <x:c r="A75" s="170"/>
      <x:c r="B75" s="170"/>
      <x:c r="C75" s="170"/>
      <x:c r="D75" s="170"/>
      <x:c r="E75" s="170"/>
      <x:c r="F75" s="171"/>
      <x:c r="G75" s="172"/>
      <x:c r="H75" s="170"/>
      <x:c r="I75" s="173" t="str">
        <x:f>IF(A75="","",IF(OR(P75&lt;&gt;"",COUNTIFS(Lotes!$B$5:$B$204,A75,Lotes!$U$5:$U$204,1)&gt;0,Listas!$B$13&lt;&gt;"OK"),"n.a.",SUMIFS(Lotes!$J$5:$J$204,Lotes!$B$5:$B$204,A75)))</x:f>
      </x:c>
      <x:c r="J75" s="174" t="str">
        <x:f>IF(A75="","",IF(OR(P75&lt;&gt;"",COUNTIFS(Lotes!$B$5:$B$204,A75,Lotes!$U$5:$U$204,1)&gt;0,Listas!$B$13&lt;&gt;"OK"),"n.a.",SUMIFS(Lotes!$L$5:$L$204,Lotes!$B$5:$B$204,A75)))</x:f>
      </x:c>
      <x:c r="K75" s="173" t="str">
        <x:f>IF(A75="","",IF(OR(P75&lt;&gt;"",COUNTIFS(Lotes!$B$5:$B$204,A75,Lotes!$U$5:$U$204,1)&gt;0,Listas!$B$13&lt;&gt;"OK"),"n.a.",COUNTIFS(Lotes!$B$5:$B$204,A75,Lotes!$J$5:$J$204,"&gt;0")))</x:f>
      </x:c>
      <x:c r="L75" s="173" t="str">
        <x:f>IF(A75="","",IF(OR(P75&lt;&gt;"",COUNTIFS(Lotes!$B$5:$B$204,A75,Lotes!$U$5:$U$204,1)&gt;0,Listas!$B$13&lt;&gt;"OK"),"n.a.",COUNTIFS(Lotes!$B$5:$B$204,A75,Lotes!$J$5:$J$204,"&gt;0",Lotes!$N$5:$N$204,"VENCIDO")))</x:f>
      </x:c>
      <x:c r="M75" s="173" t="str">
        <x:f>IF(A75="","",IF(OR(P75&lt;&gt;"",COUNTIFS(Lotes!$B$5:$B$204,A75,Lotes!$U$5:$U$204,1)&gt;0,Listas!$B$13&lt;&gt;"OK"),"n.a.",COUNTIFS(Lotes!$B$5:$B$204,A75,Lotes!$J$5:$J$204,"&gt;0",Lotes!$N$5:$N$204,"CRÍTICO")+COUNTIFS(Lotes!$B$5:$B$204,A75,Lotes!$J$5:$J$204,"&gt;0",Lotes!$N$5:$N$204,"VENCE NA JANELA")))</x:f>
      </x:c>
      <x:c r="N75" s="173" t="str">
        <x:f>IF(A75="","",IF(OR(P75&lt;&gt;"",COUNTIFS(Lotes!$B$5:$B$204,A75,Lotes!$U$5:$U$204,1)&gt;0,Listas!$B$13&lt;&gt;"OK"),"REVISAR DADOS",IF(H75="Inativo","INATIVO",IF(Q75&lt;=F75,"REPOR","OK"))))</x:f>
      </x:c>
      <x:c r="O75" s="27"/>
      <x:c r="P75" s="163" t="str">
        <x:f>IF(COUNTA(A75:H75,O75)=0,"",IF(OR(A75="",COUNTIFS($A$5:$A$204,A75)&lt;&gt;1),"SKU ausente ou duplicado",IF(OR(B75="",D75=""),"Produto ou unidade ausente",IF(OR(NOT(ISNUMBER(F75)),F75&lt;0,NOT(ISNUMBER(G75)),G75&lt;0),"Mínimo ou custo inválido",IF(AND(H75&lt;&gt;"Ativo",H75&lt;&gt;"Inativo"),"Status de produto inválido","")))))</x:f>
      </x:c>
      <x:c r="Q75" s="163" t="str">
        <x:f>IF(A75="","",IF(OR(P75&lt;&gt;"",COUNTIFS(Lotes!$B$5:$B$204,A75,Lotes!$U$5:$U$204,1)&gt;0,Listas!$B$13&lt;&gt;"OK"),"n.a.",SUMIFS(Lotes!$V$5:$V$204,Lotes!$B$5:$B$204,A75)))</x:f>
      </x:c>
      <x:c r="R75" s="163" t="n">
        <x:f>IF(P75="",0,1)</x:f>
        <x:v>0</x:v>
      </x:c>
      <x:c r="S75" s="163" t="n">
        <x:f>IF(COUNTA(A75:H75,O75)=0,0,IF(OR(Listas!$B$19="Todos",A75=Listas!$B$19,A75=""),1,0))</x:f>
        <x:v>0</x:v>
      </x:c>
      <x:c r="T75" s="163" t="n">
        <x:f>IF(S75=1,COUNTIFS($S$5:S75,1),0)</x:f>
        <x:v>0</x:v>
      </x:c>
      <x:c r="U75" s="1"/>
      <x:c r="V75" s="1"/>
      <x:c r="W75" s="1"/>
    </x:row>
    <x:row r="76" ht="32" customHeight="1">
      <x:c r="A76" s="170"/>
      <x:c r="B76" s="170"/>
      <x:c r="C76" s="170"/>
      <x:c r="D76" s="170"/>
      <x:c r="E76" s="170"/>
      <x:c r="F76" s="171"/>
      <x:c r="G76" s="172"/>
      <x:c r="H76" s="170"/>
      <x:c r="I76" s="173" t="str">
        <x:f>IF(A76="","",IF(OR(P76&lt;&gt;"",COUNTIFS(Lotes!$B$5:$B$204,A76,Lotes!$U$5:$U$204,1)&gt;0,Listas!$B$13&lt;&gt;"OK"),"n.a.",SUMIFS(Lotes!$J$5:$J$204,Lotes!$B$5:$B$204,A76)))</x:f>
      </x:c>
      <x:c r="J76" s="174" t="str">
        <x:f>IF(A76="","",IF(OR(P76&lt;&gt;"",COUNTIFS(Lotes!$B$5:$B$204,A76,Lotes!$U$5:$U$204,1)&gt;0,Listas!$B$13&lt;&gt;"OK"),"n.a.",SUMIFS(Lotes!$L$5:$L$204,Lotes!$B$5:$B$204,A76)))</x:f>
      </x:c>
      <x:c r="K76" s="173" t="str">
        <x:f>IF(A76="","",IF(OR(P76&lt;&gt;"",COUNTIFS(Lotes!$B$5:$B$204,A76,Lotes!$U$5:$U$204,1)&gt;0,Listas!$B$13&lt;&gt;"OK"),"n.a.",COUNTIFS(Lotes!$B$5:$B$204,A76,Lotes!$J$5:$J$204,"&gt;0")))</x:f>
      </x:c>
      <x:c r="L76" s="173" t="str">
        <x:f>IF(A76="","",IF(OR(P76&lt;&gt;"",COUNTIFS(Lotes!$B$5:$B$204,A76,Lotes!$U$5:$U$204,1)&gt;0,Listas!$B$13&lt;&gt;"OK"),"n.a.",COUNTIFS(Lotes!$B$5:$B$204,A76,Lotes!$J$5:$J$204,"&gt;0",Lotes!$N$5:$N$204,"VENCIDO")))</x:f>
      </x:c>
      <x:c r="M76" s="173" t="str">
        <x:f>IF(A76="","",IF(OR(P76&lt;&gt;"",COUNTIFS(Lotes!$B$5:$B$204,A76,Lotes!$U$5:$U$204,1)&gt;0,Listas!$B$13&lt;&gt;"OK"),"n.a.",COUNTIFS(Lotes!$B$5:$B$204,A76,Lotes!$J$5:$J$204,"&gt;0",Lotes!$N$5:$N$204,"CRÍTICO")+COUNTIFS(Lotes!$B$5:$B$204,A76,Lotes!$J$5:$J$204,"&gt;0",Lotes!$N$5:$N$204,"VENCE NA JANELA")))</x:f>
      </x:c>
      <x:c r="N76" s="173" t="str">
        <x:f>IF(A76="","",IF(OR(P76&lt;&gt;"",COUNTIFS(Lotes!$B$5:$B$204,A76,Lotes!$U$5:$U$204,1)&gt;0,Listas!$B$13&lt;&gt;"OK"),"REVISAR DADOS",IF(H76="Inativo","INATIVO",IF(Q76&lt;=F76,"REPOR","OK"))))</x:f>
      </x:c>
      <x:c r="O76" s="27"/>
      <x:c r="P76" s="163" t="str">
        <x:f>IF(COUNTA(A76:H76,O76)=0,"",IF(OR(A76="",COUNTIFS($A$5:$A$204,A76)&lt;&gt;1),"SKU ausente ou duplicado",IF(OR(B76="",D76=""),"Produto ou unidade ausente",IF(OR(NOT(ISNUMBER(F76)),F76&lt;0,NOT(ISNUMBER(G76)),G76&lt;0),"Mínimo ou custo inválido",IF(AND(H76&lt;&gt;"Ativo",H76&lt;&gt;"Inativo"),"Status de produto inválido","")))))</x:f>
      </x:c>
      <x:c r="Q76" s="163" t="str">
        <x:f>IF(A76="","",IF(OR(P76&lt;&gt;"",COUNTIFS(Lotes!$B$5:$B$204,A76,Lotes!$U$5:$U$204,1)&gt;0,Listas!$B$13&lt;&gt;"OK"),"n.a.",SUMIFS(Lotes!$V$5:$V$204,Lotes!$B$5:$B$204,A76)))</x:f>
      </x:c>
      <x:c r="R76" s="163" t="n">
        <x:f>IF(P76="",0,1)</x:f>
        <x:v>0</x:v>
      </x:c>
      <x:c r="S76" s="163" t="n">
        <x:f>IF(COUNTA(A76:H76,O76)=0,0,IF(OR(Listas!$B$19="Todos",A76=Listas!$B$19,A76=""),1,0))</x:f>
        <x:v>0</x:v>
      </x:c>
      <x:c r="T76" s="163" t="n">
        <x:f>IF(S76=1,COUNTIFS($S$5:S76,1),0)</x:f>
        <x:v>0</x:v>
      </x:c>
      <x:c r="U76" s="1"/>
      <x:c r="V76" s="1"/>
      <x:c r="W76" s="1"/>
    </x:row>
    <x:row r="77" ht="32" customHeight="1">
      <x:c r="A77" s="170"/>
      <x:c r="B77" s="170"/>
      <x:c r="C77" s="170"/>
      <x:c r="D77" s="170"/>
      <x:c r="E77" s="170"/>
      <x:c r="F77" s="171"/>
      <x:c r="G77" s="172"/>
      <x:c r="H77" s="170"/>
      <x:c r="I77" s="173" t="str">
        <x:f>IF(A77="","",IF(OR(P77&lt;&gt;"",COUNTIFS(Lotes!$B$5:$B$204,A77,Lotes!$U$5:$U$204,1)&gt;0,Listas!$B$13&lt;&gt;"OK"),"n.a.",SUMIFS(Lotes!$J$5:$J$204,Lotes!$B$5:$B$204,A77)))</x:f>
      </x:c>
      <x:c r="J77" s="174" t="str">
        <x:f>IF(A77="","",IF(OR(P77&lt;&gt;"",COUNTIFS(Lotes!$B$5:$B$204,A77,Lotes!$U$5:$U$204,1)&gt;0,Listas!$B$13&lt;&gt;"OK"),"n.a.",SUMIFS(Lotes!$L$5:$L$204,Lotes!$B$5:$B$204,A77)))</x:f>
      </x:c>
      <x:c r="K77" s="173" t="str">
        <x:f>IF(A77="","",IF(OR(P77&lt;&gt;"",COUNTIFS(Lotes!$B$5:$B$204,A77,Lotes!$U$5:$U$204,1)&gt;0,Listas!$B$13&lt;&gt;"OK"),"n.a.",COUNTIFS(Lotes!$B$5:$B$204,A77,Lotes!$J$5:$J$204,"&gt;0")))</x:f>
      </x:c>
      <x:c r="L77" s="173" t="str">
        <x:f>IF(A77="","",IF(OR(P77&lt;&gt;"",COUNTIFS(Lotes!$B$5:$B$204,A77,Lotes!$U$5:$U$204,1)&gt;0,Listas!$B$13&lt;&gt;"OK"),"n.a.",COUNTIFS(Lotes!$B$5:$B$204,A77,Lotes!$J$5:$J$204,"&gt;0",Lotes!$N$5:$N$204,"VENCIDO")))</x:f>
      </x:c>
      <x:c r="M77" s="173" t="str">
        <x:f>IF(A77="","",IF(OR(P77&lt;&gt;"",COUNTIFS(Lotes!$B$5:$B$204,A77,Lotes!$U$5:$U$204,1)&gt;0,Listas!$B$13&lt;&gt;"OK"),"n.a.",COUNTIFS(Lotes!$B$5:$B$204,A77,Lotes!$J$5:$J$204,"&gt;0",Lotes!$N$5:$N$204,"CRÍTICO")+COUNTIFS(Lotes!$B$5:$B$204,A77,Lotes!$J$5:$J$204,"&gt;0",Lotes!$N$5:$N$204,"VENCE NA JANELA")))</x:f>
      </x:c>
      <x:c r="N77" s="173" t="str">
        <x:f>IF(A77="","",IF(OR(P77&lt;&gt;"",COUNTIFS(Lotes!$B$5:$B$204,A77,Lotes!$U$5:$U$204,1)&gt;0,Listas!$B$13&lt;&gt;"OK"),"REVISAR DADOS",IF(H77="Inativo","INATIVO",IF(Q77&lt;=F77,"REPOR","OK"))))</x:f>
      </x:c>
      <x:c r="O77" s="27"/>
      <x:c r="P77" s="163" t="str">
        <x:f>IF(COUNTA(A77:H77,O77)=0,"",IF(OR(A77="",COUNTIFS($A$5:$A$204,A77)&lt;&gt;1),"SKU ausente ou duplicado",IF(OR(B77="",D77=""),"Produto ou unidade ausente",IF(OR(NOT(ISNUMBER(F77)),F77&lt;0,NOT(ISNUMBER(G77)),G77&lt;0),"Mínimo ou custo inválido",IF(AND(H77&lt;&gt;"Ativo",H77&lt;&gt;"Inativo"),"Status de produto inválido","")))))</x:f>
      </x:c>
      <x:c r="Q77" s="163" t="str">
        <x:f>IF(A77="","",IF(OR(P77&lt;&gt;"",COUNTIFS(Lotes!$B$5:$B$204,A77,Lotes!$U$5:$U$204,1)&gt;0,Listas!$B$13&lt;&gt;"OK"),"n.a.",SUMIFS(Lotes!$V$5:$V$204,Lotes!$B$5:$B$204,A77)))</x:f>
      </x:c>
      <x:c r="R77" s="163" t="n">
        <x:f>IF(P77="",0,1)</x:f>
        <x:v>0</x:v>
      </x:c>
      <x:c r="S77" s="163" t="n">
        <x:f>IF(COUNTA(A77:H77,O77)=0,0,IF(OR(Listas!$B$19="Todos",A77=Listas!$B$19,A77=""),1,0))</x:f>
        <x:v>0</x:v>
      </x:c>
      <x:c r="T77" s="163" t="n">
        <x:f>IF(S77=1,COUNTIFS($S$5:S77,1),0)</x:f>
        <x:v>0</x:v>
      </x:c>
      <x:c r="U77" s="1"/>
      <x:c r="V77" s="1"/>
      <x:c r="W77" s="1"/>
    </x:row>
    <x:row r="78" ht="32" customHeight="1">
      <x:c r="A78" s="170"/>
      <x:c r="B78" s="170"/>
      <x:c r="C78" s="170"/>
      <x:c r="D78" s="170"/>
      <x:c r="E78" s="170"/>
      <x:c r="F78" s="171"/>
      <x:c r="G78" s="172"/>
      <x:c r="H78" s="170"/>
      <x:c r="I78" s="173" t="str">
        <x:f>IF(A78="","",IF(OR(P78&lt;&gt;"",COUNTIFS(Lotes!$B$5:$B$204,A78,Lotes!$U$5:$U$204,1)&gt;0,Listas!$B$13&lt;&gt;"OK"),"n.a.",SUMIFS(Lotes!$J$5:$J$204,Lotes!$B$5:$B$204,A78)))</x:f>
      </x:c>
      <x:c r="J78" s="174" t="str">
        <x:f>IF(A78="","",IF(OR(P78&lt;&gt;"",COUNTIFS(Lotes!$B$5:$B$204,A78,Lotes!$U$5:$U$204,1)&gt;0,Listas!$B$13&lt;&gt;"OK"),"n.a.",SUMIFS(Lotes!$L$5:$L$204,Lotes!$B$5:$B$204,A78)))</x:f>
      </x:c>
      <x:c r="K78" s="173" t="str">
        <x:f>IF(A78="","",IF(OR(P78&lt;&gt;"",COUNTIFS(Lotes!$B$5:$B$204,A78,Lotes!$U$5:$U$204,1)&gt;0,Listas!$B$13&lt;&gt;"OK"),"n.a.",COUNTIFS(Lotes!$B$5:$B$204,A78,Lotes!$J$5:$J$204,"&gt;0")))</x:f>
      </x:c>
      <x:c r="L78" s="173" t="str">
        <x:f>IF(A78="","",IF(OR(P78&lt;&gt;"",COUNTIFS(Lotes!$B$5:$B$204,A78,Lotes!$U$5:$U$204,1)&gt;0,Listas!$B$13&lt;&gt;"OK"),"n.a.",COUNTIFS(Lotes!$B$5:$B$204,A78,Lotes!$J$5:$J$204,"&gt;0",Lotes!$N$5:$N$204,"VENCIDO")))</x:f>
      </x:c>
      <x:c r="M78" s="173" t="str">
        <x:f>IF(A78="","",IF(OR(P78&lt;&gt;"",COUNTIFS(Lotes!$B$5:$B$204,A78,Lotes!$U$5:$U$204,1)&gt;0,Listas!$B$13&lt;&gt;"OK"),"n.a.",COUNTIFS(Lotes!$B$5:$B$204,A78,Lotes!$J$5:$J$204,"&gt;0",Lotes!$N$5:$N$204,"CRÍTICO")+COUNTIFS(Lotes!$B$5:$B$204,A78,Lotes!$J$5:$J$204,"&gt;0",Lotes!$N$5:$N$204,"VENCE NA JANELA")))</x:f>
      </x:c>
      <x:c r="N78" s="173" t="str">
        <x:f>IF(A78="","",IF(OR(P78&lt;&gt;"",COUNTIFS(Lotes!$B$5:$B$204,A78,Lotes!$U$5:$U$204,1)&gt;0,Listas!$B$13&lt;&gt;"OK"),"REVISAR DADOS",IF(H78="Inativo","INATIVO",IF(Q78&lt;=F78,"REPOR","OK"))))</x:f>
      </x:c>
      <x:c r="O78" s="27"/>
      <x:c r="P78" s="163" t="str">
        <x:f>IF(COUNTA(A78:H78,O78)=0,"",IF(OR(A78="",COUNTIFS($A$5:$A$204,A78)&lt;&gt;1),"SKU ausente ou duplicado",IF(OR(B78="",D78=""),"Produto ou unidade ausente",IF(OR(NOT(ISNUMBER(F78)),F78&lt;0,NOT(ISNUMBER(G78)),G78&lt;0),"Mínimo ou custo inválido",IF(AND(H78&lt;&gt;"Ativo",H78&lt;&gt;"Inativo"),"Status de produto inválido","")))))</x:f>
      </x:c>
      <x:c r="Q78" s="163" t="str">
        <x:f>IF(A78="","",IF(OR(P78&lt;&gt;"",COUNTIFS(Lotes!$B$5:$B$204,A78,Lotes!$U$5:$U$204,1)&gt;0,Listas!$B$13&lt;&gt;"OK"),"n.a.",SUMIFS(Lotes!$V$5:$V$204,Lotes!$B$5:$B$204,A78)))</x:f>
      </x:c>
      <x:c r="R78" s="163" t="n">
        <x:f>IF(P78="",0,1)</x:f>
        <x:v>0</x:v>
      </x:c>
      <x:c r="S78" s="163" t="n">
        <x:f>IF(COUNTA(A78:H78,O78)=0,0,IF(OR(Listas!$B$19="Todos",A78=Listas!$B$19,A78=""),1,0))</x:f>
        <x:v>0</x:v>
      </x:c>
      <x:c r="T78" s="163" t="n">
        <x:f>IF(S78=1,COUNTIFS($S$5:S78,1),0)</x:f>
        <x:v>0</x:v>
      </x:c>
      <x:c r="U78" s="1"/>
      <x:c r="V78" s="1"/>
      <x:c r="W78" s="1"/>
    </x:row>
    <x:row r="79" ht="32" customHeight="1">
      <x:c r="A79" s="170"/>
      <x:c r="B79" s="170"/>
      <x:c r="C79" s="170"/>
      <x:c r="D79" s="170"/>
      <x:c r="E79" s="170"/>
      <x:c r="F79" s="171"/>
      <x:c r="G79" s="172"/>
      <x:c r="H79" s="170"/>
      <x:c r="I79" s="173" t="str">
        <x:f>IF(A79="","",IF(OR(P79&lt;&gt;"",COUNTIFS(Lotes!$B$5:$B$204,A79,Lotes!$U$5:$U$204,1)&gt;0,Listas!$B$13&lt;&gt;"OK"),"n.a.",SUMIFS(Lotes!$J$5:$J$204,Lotes!$B$5:$B$204,A79)))</x:f>
      </x:c>
      <x:c r="J79" s="174" t="str">
        <x:f>IF(A79="","",IF(OR(P79&lt;&gt;"",COUNTIFS(Lotes!$B$5:$B$204,A79,Lotes!$U$5:$U$204,1)&gt;0,Listas!$B$13&lt;&gt;"OK"),"n.a.",SUMIFS(Lotes!$L$5:$L$204,Lotes!$B$5:$B$204,A79)))</x:f>
      </x:c>
      <x:c r="K79" s="173" t="str">
        <x:f>IF(A79="","",IF(OR(P79&lt;&gt;"",COUNTIFS(Lotes!$B$5:$B$204,A79,Lotes!$U$5:$U$204,1)&gt;0,Listas!$B$13&lt;&gt;"OK"),"n.a.",COUNTIFS(Lotes!$B$5:$B$204,A79,Lotes!$J$5:$J$204,"&gt;0")))</x:f>
      </x:c>
      <x:c r="L79" s="173" t="str">
        <x:f>IF(A79="","",IF(OR(P79&lt;&gt;"",COUNTIFS(Lotes!$B$5:$B$204,A79,Lotes!$U$5:$U$204,1)&gt;0,Listas!$B$13&lt;&gt;"OK"),"n.a.",COUNTIFS(Lotes!$B$5:$B$204,A79,Lotes!$J$5:$J$204,"&gt;0",Lotes!$N$5:$N$204,"VENCIDO")))</x:f>
      </x:c>
      <x:c r="M79" s="173" t="str">
        <x:f>IF(A79="","",IF(OR(P79&lt;&gt;"",COUNTIFS(Lotes!$B$5:$B$204,A79,Lotes!$U$5:$U$204,1)&gt;0,Listas!$B$13&lt;&gt;"OK"),"n.a.",COUNTIFS(Lotes!$B$5:$B$204,A79,Lotes!$J$5:$J$204,"&gt;0",Lotes!$N$5:$N$204,"CRÍTICO")+COUNTIFS(Lotes!$B$5:$B$204,A79,Lotes!$J$5:$J$204,"&gt;0",Lotes!$N$5:$N$204,"VENCE NA JANELA")))</x:f>
      </x:c>
      <x:c r="N79" s="173" t="str">
        <x:f>IF(A79="","",IF(OR(P79&lt;&gt;"",COUNTIFS(Lotes!$B$5:$B$204,A79,Lotes!$U$5:$U$204,1)&gt;0,Listas!$B$13&lt;&gt;"OK"),"REVISAR DADOS",IF(H79="Inativo","INATIVO",IF(Q79&lt;=F79,"REPOR","OK"))))</x:f>
      </x:c>
      <x:c r="O79" s="27"/>
      <x:c r="P79" s="163" t="str">
        <x:f>IF(COUNTA(A79:H79,O79)=0,"",IF(OR(A79="",COUNTIFS($A$5:$A$204,A79)&lt;&gt;1),"SKU ausente ou duplicado",IF(OR(B79="",D79=""),"Produto ou unidade ausente",IF(OR(NOT(ISNUMBER(F79)),F79&lt;0,NOT(ISNUMBER(G79)),G79&lt;0),"Mínimo ou custo inválido",IF(AND(H79&lt;&gt;"Ativo",H79&lt;&gt;"Inativo"),"Status de produto inválido","")))))</x:f>
      </x:c>
      <x:c r="Q79" s="163" t="str">
        <x:f>IF(A79="","",IF(OR(P79&lt;&gt;"",COUNTIFS(Lotes!$B$5:$B$204,A79,Lotes!$U$5:$U$204,1)&gt;0,Listas!$B$13&lt;&gt;"OK"),"n.a.",SUMIFS(Lotes!$V$5:$V$204,Lotes!$B$5:$B$204,A79)))</x:f>
      </x:c>
      <x:c r="R79" s="163" t="n">
        <x:f>IF(P79="",0,1)</x:f>
        <x:v>0</x:v>
      </x:c>
      <x:c r="S79" s="163" t="n">
        <x:f>IF(COUNTA(A79:H79,O79)=0,0,IF(OR(Listas!$B$19="Todos",A79=Listas!$B$19,A79=""),1,0))</x:f>
        <x:v>0</x:v>
      </x:c>
      <x:c r="T79" s="163" t="n">
        <x:f>IF(S79=1,COUNTIFS($S$5:S79,1),0)</x:f>
        <x:v>0</x:v>
      </x:c>
      <x:c r="U79" s="1"/>
      <x:c r="V79" s="1"/>
      <x:c r="W79" s="1"/>
    </x:row>
    <x:row r="80" ht="32" customHeight="1">
      <x:c r="A80" s="170"/>
      <x:c r="B80" s="170"/>
      <x:c r="C80" s="170"/>
      <x:c r="D80" s="170"/>
      <x:c r="E80" s="170"/>
      <x:c r="F80" s="171"/>
      <x:c r="G80" s="172"/>
      <x:c r="H80" s="170"/>
      <x:c r="I80" s="173" t="str">
        <x:f>IF(A80="","",IF(OR(P80&lt;&gt;"",COUNTIFS(Lotes!$B$5:$B$204,A80,Lotes!$U$5:$U$204,1)&gt;0,Listas!$B$13&lt;&gt;"OK"),"n.a.",SUMIFS(Lotes!$J$5:$J$204,Lotes!$B$5:$B$204,A80)))</x:f>
      </x:c>
      <x:c r="J80" s="174" t="str">
        <x:f>IF(A80="","",IF(OR(P80&lt;&gt;"",COUNTIFS(Lotes!$B$5:$B$204,A80,Lotes!$U$5:$U$204,1)&gt;0,Listas!$B$13&lt;&gt;"OK"),"n.a.",SUMIFS(Lotes!$L$5:$L$204,Lotes!$B$5:$B$204,A80)))</x:f>
      </x:c>
      <x:c r="K80" s="173" t="str">
        <x:f>IF(A80="","",IF(OR(P80&lt;&gt;"",COUNTIFS(Lotes!$B$5:$B$204,A80,Lotes!$U$5:$U$204,1)&gt;0,Listas!$B$13&lt;&gt;"OK"),"n.a.",COUNTIFS(Lotes!$B$5:$B$204,A80,Lotes!$J$5:$J$204,"&gt;0")))</x:f>
      </x:c>
      <x:c r="L80" s="173" t="str">
        <x:f>IF(A80="","",IF(OR(P80&lt;&gt;"",COUNTIFS(Lotes!$B$5:$B$204,A80,Lotes!$U$5:$U$204,1)&gt;0,Listas!$B$13&lt;&gt;"OK"),"n.a.",COUNTIFS(Lotes!$B$5:$B$204,A80,Lotes!$J$5:$J$204,"&gt;0",Lotes!$N$5:$N$204,"VENCIDO")))</x:f>
      </x:c>
      <x:c r="M80" s="173" t="str">
        <x:f>IF(A80="","",IF(OR(P80&lt;&gt;"",COUNTIFS(Lotes!$B$5:$B$204,A80,Lotes!$U$5:$U$204,1)&gt;0,Listas!$B$13&lt;&gt;"OK"),"n.a.",COUNTIFS(Lotes!$B$5:$B$204,A80,Lotes!$J$5:$J$204,"&gt;0",Lotes!$N$5:$N$204,"CRÍTICO")+COUNTIFS(Lotes!$B$5:$B$204,A80,Lotes!$J$5:$J$204,"&gt;0",Lotes!$N$5:$N$204,"VENCE NA JANELA")))</x:f>
      </x:c>
      <x:c r="N80" s="173" t="str">
        <x:f>IF(A80="","",IF(OR(P80&lt;&gt;"",COUNTIFS(Lotes!$B$5:$B$204,A80,Lotes!$U$5:$U$204,1)&gt;0,Listas!$B$13&lt;&gt;"OK"),"REVISAR DADOS",IF(H80="Inativo","INATIVO",IF(Q80&lt;=F80,"REPOR","OK"))))</x:f>
      </x:c>
      <x:c r="O80" s="27"/>
      <x:c r="P80" s="163" t="str">
        <x:f>IF(COUNTA(A80:H80,O80)=0,"",IF(OR(A80="",COUNTIFS($A$5:$A$204,A80)&lt;&gt;1),"SKU ausente ou duplicado",IF(OR(B80="",D80=""),"Produto ou unidade ausente",IF(OR(NOT(ISNUMBER(F80)),F80&lt;0,NOT(ISNUMBER(G80)),G80&lt;0),"Mínimo ou custo inválido",IF(AND(H80&lt;&gt;"Ativo",H80&lt;&gt;"Inativo"),"Status de produto inválido","")))))</x:f>
      </x:c>
      <x:c r="Q80" s="163" t="str">
        <x:f>IF(A80="","",IF(OR(P80&lt;&gt;"",COUNTIFS(Lotes!$B$5:$B$204,A80,Lotes!$U$5:$U$204,1)&gt;0,Listas!$B$13&lt;&gt;"OK"),"n.a.",SUMIFS(Lotes!$V$5:$V$204,Lotes!$B$5:$B$204,A80)))</x:f>
      </x:c>
      <x:c r="R80" s="163" t="n">
        <x:f>IF(P80="",0,1)</x:f>
        <x:v>0</x:v>
      </x:c>
      <x:c r="S80" s="163" t="n">
        <x:f>IF(COUNTA(A80:H80,O80)=0,0,IF(OR(Listas!$B$19="Todos",A80=Listas!$B$19,A80=""),1,0))</x:f>
        <x:v>0</x:v>
      </x:c>
      <x:c r="T80" s="163" t="n">
        <x:f>IF(S80=1,COUNTIFS($S$5:S80,1),0)</x:f>
        <x:v>0</x:v>
      </x:c>
      <x:c r="U80" s="1"/>
      <x:c r="V80" s="1"/>
      <x:c r="W80" s="1"/>
    </x:row>
    <x:row r="81" ht="32" customHeight="1">
      <x:c r="A81" s="170"/>
      <x:c r="B81" s="170"/>
      <x:c r="C81" s="170"/>
      <x:c r="D81" s="170"/>
      <x:c r="E81" s="170"/>
      <x:c r="F81" s="171"/>
      <x:c r="G81" s="172"/>
      <x:c r="H81" s="170"/>
      <x:c r="I81" s="173" t="str">
        <x:f>IF(A81="","",IF(OR(P81&lt;&gt;"",COUNTIFS(Lotes!$B$5:$B$204,A81,Lotes!$U$5:$U$204,1)&gt;0,Listas!$B$13&lt;&gt;"OK"),"n.a.",SUMIFS(Lotes!$J$5:$J$204,Lotes!$B$5:$B$204,A81)))</x:f>
      </x:c>
      <x:c r="J81" s="174" t="str">
        <x:f>IF(A81="","",IF(OR(P81&lt;&gt;"",COUNTIFS(Lotes!$B$5:$B$204,A81,Lotes!$U$5:$U$204,1)&gt;0,Listas!$B$13&lt;&gt;"OK"),"n.a.",SUMIFS(Lotes!$L$5:$L$204,Lotes!$B$5:$B$204,A81)))</x:f>
      </x:c>
      <x:c r="K81" s="173" t="str">
        <x:f>IF(A81="","",IF(OR(P81&lt;&gt;"",COUNTIFS(Lotes!$B$5:$B$204,A81,Lotes!$U$5:$U$204,1)&gt;0,Listas!$B$13&lt;&gt;"OK"),"n.a.",COUNTIFS(Lotes!$B$5:$B$204,A81,Lotes!$J$5:$J$204,"&gt;0")))</x:f>
      </x:c>
      <x:c r="L81" s="173" t="str">
        <x:f>IF(A81="","",IF(OR(P81&lt;&gt;"",COUNTIFS(Lotes!$B$5:$B$204,A81,Lotes!$U$5:$U$204,1)&gt;0,Listas!$B$13&lt;&gt;"OK"),"n.a.",COUNTIFS(Lotes!$B$5:$B$204,A81,Lotes!$J$5:$J$204,"&gt;0",Lotes!$N$5:$N$204,"VENCIDO")))</x:f>
      </x:c>
      <x:c r="M81" s="173" t="str">
        <x:f>IF(A81="","",IF(OR(P81&lt;&gt;"",COUNTIFS(Lotes!$B$5:$B$204,A81,Lotes!$U$5:$U$204,1)&gt;0,Listas!$B$13&lt;&gt;"OK"),"n.a.",COUNTIFS(Lotes!$B$5:$B$204,A81,Lotes!$J$5:$J$204,"&gt;0",Lotes!$N$5:$N$204,"CRÍTICO")+COUNTIFS(Lotes!$B$5:$B$204,A81,Lotes!$J$5:$J$204,"&gt;0",Lotes!$N$5:$N$204,"VENCE NA JANELA")))</x:f>
      </x:c>
      <x:c r="N81" s="173" t="str">
        <x:f>IF(A81="","",IF(OR(P81&lt;&gt;"",COUNTIFS(Lotes!$B$5:$B$204,A81,Lotes!$U$5:$U$204,1)&gt;0,Listas!$B$13&lt;&gt;"OK"),"REVISAR DADOS",IF(H81="Inativo","INATIVO",IF(Q81&lt;=F81,"REPOR","OK"))))</x:f>
      </x:c>
      <x:c r="O81" s="27"/>
      <x:c r="P81" s="163" t="str">
        <x:f>IF(COUNTA(A81:H81,O81)=0,"",IF(OR(A81="",COUNTIFS($A$5:$A$204,A81)&lt;&gt;1),"SKU ausente ou duplicado",IF(OR(B81="",D81=""),"Produto ou unidade ausente",IF(OR(NOT(ISNUMBER(F81)),F81&lt;0,NOT(ISNUMBER(G81)),G81&lt;0),"Mínimo ou custo inválido",IF(AND(H81&lt;&gt;"Ativo",H81&lt;&gt;"Inativo"),"Status de produto inválido","")))))</x:f>
      </x:c>
      <x:c r="Q81" s="163" t="str">
        <x:f>IF(A81="","",IF(OR(P81&lt;&gt;"",COUNTIFS(Lotes!$B$5:$B$204,A81,Lotes!$U$5:$U$204,1)&gt;0,Listas!$B$13&lt;&gt;"OK"),"n.a.",SUMIFS(Lotes!$V$5:$V$204,Lotes!$B$5:$B$204,A81)))</x:f>
      </x:c>
      <x:c r="R81" s="163" t="n">
        <x:f>IF(P81="",0,1)</x:f>
        <x:v>0</x:v>
      </x:c>
      <x:c r="S81" s="163" t="n">
        <x:f>IF(COUNTA(A81:H81,O81)=0,0,IF(OR(Listas!$B$19="Todos",A81=Listas!$B$19,A81=""),1,0))</x:f>
        <x:v>0</x:v>
      </x:c>
      <x:c r="T81" s="163" t="n">
        <x:f>IF(S81=1,COUNTIFS($S$5:S81,1),0)</x:f>
        <x:v>0</x:v>
      </x:c>
      <x:c r="U81" s="1"/>
      <x:c r="V81" s="1"/>
      <x:c r="W81" s="1"/>
    </x:row>
    <x:row r="82" ht="32" customHeight="1">
      <x:c r="A82" s="170"/>
      <x:c r="B82" s="170"/>
      <x:c r="C82" s="170"/>
      <x:c r="D82" s="170"/>
      <x:c r="E82" s="170"/>
      <x:c r="F82" s="171"/>
      <x:c r="G82" s="172"/>
      <x:c r="H82" s="170"/>
      <x:c r="I82" s="173" t="str">
        <x:f>IF(A82="","",IF(OR(P82&lt;&gt;"",COUNTIFS(Lotes!$B$5:$B$204,A82,Lotes!$U$5:$U$204,1)&gt;0,Listas!$B$13&lt;&gt;"OK"),"n.a.",SUMIFS(Lotes!$J$5:$J$204,Lotes!$B$5:$B$204,A82)))</x:f>
      </x:c>
      <x:c r="J82" s="174" t="str">
        <x:f>IF(A82="","",IF(OR(P82&lt;&gt;"",COUNTIFS(Lotes!$B$5:$B$204,A82,Lotes!$U$5:$U$204,1)&gt;0,Listas!$B$13&lt;&gt;"OK"),"n.a.",SUMIFS(Lotes!$L$5:$L$204,Lotes!$B$5:$B$204,A82)))</x:f>
      </x:c>
      <x:c r="K82" s="173" t="str">
        <x:f>IF(A82="","",IF(OR(P82&lt;&gt;"",COUNTIFS(Lotes!$B$5:$B$204,A82,Lotes!$U$5:$U$204,1)&gt;0,Listas!$B$13&lt;&gt;"OK"),"n.a.",COUNTIFS(Lotes!$B$5:$B$204,A82,Lotes!$J$5:$J$204,"&gt;0")))</x:f>
      </x:c>
      <x:c r="L82" s="173" t="str">
        <x:f>IF(A82="","",IF(OR(P82&lt;&gt;"",COUNTIFS(Lotes!$B$5:$B$204,A82,Lotes!$U$5:$U$204,1)&gt;0,Listas!$B$13&lt;&gt;"OK"),"n.a.",COUNTIFS(Lotes!$B$5:$B$204,A82,Lotes!$J$5:$J$204,"&gt;0",Lotes!$N$5:$N$204,"VENCIDO")))</x:f>
      </x:c>
      <x:c r="M82" s="173" t="str">
        <x:f>IF(A82="","",IF(OR(P82&lt;&gt;"",COUNTIFS(Lotes!$B$5:$B$204,A82,Lotes!$U$5:$U$204,1)&gt;0,Listas!$B$13&lt;&gt;"OK"),"n.a.",COUNTIFS(Lotes!$B$5:$B$204,A82,Lotes!$J$5:$J$204,"&gt;0",Lotes!$N$5:$N$204,"CRÍTICO")+COUNTIFS(Lotes!$B$5:$B$204,A82,Lotes!$J$5:$J$204,"&gt;0",Lotes!$N$5:$N$204,"VENCE NA JANELA")))</x:f>
      </x:c>
      <x:c r="N82" s="173" t="str">
        <x:f>IF(A82="","",IF(OR(P82&lt;&gt;"",COUNTIFS(Lotes!$B$5:$B$204,A82,Lotes!$U$5:$U$204,1)&gt;0,Listas!$B$13&lt;&gt;"OK"),"REVISAR DADOS",IF(H82="Inativo","INATIVO",IF(Q82&lt;=F82,"REPOR","OK"))))</x:f>
      </x:c>
      <x:c r="O82" s="27"/>
      <x:c r="P82" s="163" t="str">
        <x:f>IF(COUNTA(A82:H82,O82)=0,"",IF(OR(A82="",COUNTIFS($A$5:$A$204,A82)&lt;&gt;1),"SKU ausente ou duplicado",IF(OR(B82="",D82=""),"Produto ou unidade ausente",IF(OR(NOT(ISNUMBER(F82)),F82&lt;0,NOT(ISNUMBER(G82)),G82&lt;0),"Mínimo ou custo inválido",IF(AND(H82&lt;&gt;"Ativo",H82&lt;&gt;"Inativo"),"Status de produto inválido","")))))</x:f>
      </x:c>
      <x:c r="Q82" s="163" t="str">
        <x:f>IF(A82="","",IF(OR(P82&lt;&gt;"",COUNTIFS(Lotes!$B$5:$B$204,A82,Lotes!$U$5:$U$204,1)&gt;0,Listas!$B$13&lt;&gt;"OK"),"n.a.",SUMIFS(Lotes!$V$5:$V$204,Lotes!$B$5:$B$204,A82)))</x:f>
      </x:c>
      <x:c r="R82" s="163" t="n">
        <x:f>IF(P82="",0,1)</x:f>
        <x:v>0</x:v>
      </x:c>
      <x:c r="S82" s="163" t="n">
        <x:f>IF(COUNTA(A82:H82,O82)=0,0,IF(OR(Listas!$B$19="Todos",A82=Listas!$B$19,A82=""),1,0))</x:f>
        <x:v>0</x:v>
      </x:c>
      <x:c r="T82" s="163" t="n">
        <x:f>IF(S82=1,COUNTIFS($S$5:S82,1),0)</x:f>
        <x:v>0</x:v>
      </x:c>
      <x:c r="U82" s="1"/>
      <x:c r="V82" s="1"/>
      <x:c r="W82" s="1"/>
    </x:row>
    <x:row r="83" ht="32" customHeight="1">
      <x:c r="A83" s="170"/>
      <x:c r="B83" s="170"/>
      <x:c r="C83" s="170"/>
      <x:c r="D83" s="170"/>
      <x:c r="E83" s="170"/>
      <x:c r="F83" s="171"/>
      <x:c r="G83" s="172"/>
      <x:c r="H83" s="170"/>
      <x:c r="I83" s="173" t="str">
        <x:f>IF(A83="","",IF(OR(P83&lt;&gt;"",COUNTIFS(Lotes!$B$5:$B$204,A83,Lotes!$U$5:$U$204,1)&gt;0,Listas!$B$13&lt;&gt;"OK"),"n.a.",SUMIFS(Lotes!$J$5:$J$204,Lotes!$B$5:$B$204,A83)))</x:f>
      </x:c>
      <x:c r="J83" s="174" t="str">
        <x:f>IF(A83="","",IF(OR(P83&lt;&gt;"",COUNTIFS(Lotes!$B$5:$B$204,A83,Lotes!$U$5:$U$204,1)&gt;0,Listas!$B$13&lt;&gt;"OK"),"n.a.",SUMIFS(Lotes!$L$5:$L$204,Lotes!$B$5:$B$204,A83)))</x:f>
      </x:c>
      <x:c r="K83" s="173" t="str">
        <x:f>IF(A83="","",IF(OR(P83&lt;&gt;"",COUNTIFS(Lotes!$B$5:$B$204,A83,Lotes!$U$5:$U$204,1)&gt;0,Listas!$B$13&lt;&gt;"OK"),"n.a.",COUNTIFS(Lotes!$B$5:$B$204,A83,Lotes!$J$5:$J$204,"&gt;0")))</x:f>
      </x:c>
      <x:c r="L83" s="173" t="str">
        <x:f>IF(A83="","",IF(OR(P83&lt;&gt;"",COUNTIFS(Lotes!$B$5:$B$204,A83,Lotes!$U$5:$U$204,1)&gt;0,Listas!$B$13&lt;&gt;"OK"),"n.a.",COUNTIFS(Lotes!$B$5:$B$204,A83,Lotes!$J$5:$J$204,"&gt;0",Lotes!$N$5:$N$204,"VENCIDO")))</x:f>
      </x:c>
      <x:c r="M83" s="173" t="str">
        <x:f>IF(A83="","",IF(OR(P83&lt;&gt;"",COUNTIFS(Lotes!$B$5:$B$204,A83,Lotes!$U$5:$U$204,1)&gt;0,Listas!$B$13&lt;&gt;"OK"),"n.a.",COUNTIFS(Lotes!$B$5:$B$204,A83,Lotes!$J$5:$J$204,"&gt;0",Lotes!$N$5:$N$204,"CRÍTICO")+COUNTIFS(Lotes!$B$5:$B$204,A83,Lotes!$J$5:$J$204,"&gt;0",Lotes!$N$5:$N$204,"VENCE NA JANELA")))</x:f>
      </x:c>
      <x:c r="N83" s="173" t="str">
        <x:f>IF(A83="","",IF(OR(P83&lt;&gt;"",COUNTIFS(Lotes!$B$5:$B$204,A83,Lotes!$U$5:$U$204,1)&gt;0,Listas!$B$13&lt;&gt;"OK"),"REVISAR DADOS",IF(H83="Inativo","INATIVO",IF(Q83&lt;=F83,"REPOR","OK"))))</x:f>
      </x:c>
      <x:c r="O83" s="27"/>
      <x:c r="P83" s="163" t="str">
        <x:f>IF(COUNTA(A83:H83,O83)=0,"",IF(OR(A83="",COUNTIFS($A$5:$A$204,A83)&lt;&gt;1),"SKU ausente ou duplicado",IF(OR(B83="",D83=""),"Produto ou unidade ausente",IF(OR(NOT(ISNUMBER(F83)),F83&lt;0,NOT(ISNUMBER(G83)),G83&lt;0),"Mínimo ou custo inválido",IF(AND(H83&lt;&gt;"Ativo",H83&lt;&gt;"Inativo"),"Status de produto inválido","")))))</x:f>
      </x:c>
      <x:c r="Q83" s="163" t="str">
        <x:f>IF(A83="","",IF(OR(P83&lt;&gt;"",COUNTIFS(Lotes!$B$5:$B$204,A83,Lotes!$U$5:$U$204,1)&gt;0,Listas!$B$13&lt;&gt;"OK"),"n.a.",SUMIFS(Lotes!$V$5:$V$204,Lotes!$B$5:$B$204,A83)))</x:f>
      </x:c>
      <x:c r="R83" s="163" t="n">
        <x:f>IF(P83="",0,1)</x:f>
        <x:v>0</x:v>
      </x:c>
      <x:c r="S83" s="163" t="n">
        <x:f>IF(COUNTA(A83:H83,O83)=0,0,IF(OR(Listas!$B$19="Todos",A83=Listas!$B$19,A83=""),1,0))</x:f>
        <x:v>0</x:v>
      </x:c>
      <x:c r="T83" s="163" t="n">
        <x:f>IF(S83=1,COUNTIFS($S$5:S83,1),0)</x:f>
        <x:v>0</x:v>
      </x:c>
      <x:c r="U83" s="1"/>
      <x:c r="V83" s="1"/>
      <x:c r="W83" s="1"/>
    </x:row>
    <x:row r="84" ht="32" customHeight="1">
      <x:c r="A84" s="170"/>
      <x:c r="B84" s="170"/>
      <x:c r="C84" s="170"/>
      <x:c r="D84" s="170"/>
      <x:c r="E84" s="170"/>
      <x:c r="F84" s="171"/>
      <x:c r="G84" s="172"/>
      <x:c r="H84" s="170"/>
      <x:c r="I84" s="173" t="str">
        <x:f>IF(A84="","",IF(OR(P84&lt;&gt;"",COUNTIFS(Lotes!$B$5:$B$204,A84,Lotes!$U$5:$U$204,1)&gt;0,Listas!$B$13&lt;&gt;"OK"),"n.a.",SUMIFS(Lotes!$J$5:$J$204,Lotes!$B$5:$B$204,A84)))</x:f>
      </x:c>
      <x:c r="J84" s="174" t="str">
        <x:f>IF(A84="","",IF(OR(P84&lt;&gt;"",COUNTIFS(Lotes!$B$5:$B$204,A84,Lotes!$U$5:$U$204,1)&gt;0,Listas!$B$13&lt;&gt;"OK"),"n.a.",SUMIFS(Lotes!$L$5:$L$204,Lotes!$B$5:$B$204,A84)))</x:f>
      </x:c>
      <x:c r="K84" s="173" t="str">
        <x:f>IF(A84="","",IF(OR(P84&lt;&gt;"",COUNTIFS(Lotes!$B$5:$B$204,A84,Lotes!$U$5:$U$204,1)&gt;0,Listas!$B$13&lt;&gt;"OK"),"n.a.",COUNTIFS(Lotes!$B$5:$B$204,A84,Lotes!$J$5:$J$204,"&gt;0")))</x:f>
      </x:c>
      <x:c r="L84" s="173" t="str">
        <x:f>IF(A84="","",IF(OR(P84&lt;&gt;"",COUNTIFS(Lotes!$B$5:$B$204,A84,Lotes!$U$5:$U$204,1)&gt;0,Listas!$B$13&lt;&gt;"OK"),"n.a.",COUNTIFS(Lotes!$B$5:$B$204,A84,Lotes!$J$5:$J$204,"&gt;0",Lotes!$N$5:$N$204,"VENCIDO")))</x:f>
      </x:c>
      <x:c r="M84" s="173" t="str">
        <x:f>IF(A84="","",IF(OR(P84&lt;&gt;"",COUNTIFS(Lotes!$B$5:$B$204,A84,Lotes!$U$5:$U$204,1)&gt;0,Listas!$B$13&lt;&gt;"OK"),"n.a.",COUNTIFS(Lotes!$B$5:$B$204,A84,Lotes!$J$5:$J$204,"&gt;0",Lotes!$N$5:$N$204,"CRÍTICO")+COUNTIFS(Lotes!$B$5:$B$204,A84,Lotes!$J$5:$J$204,"&gt;0",Lotes!$N$5:$N$204,"VENCE NA JANELA")))</x:f>
      </x:c>
      <x:c r="N84" s="173" t="str">
        <x:f>IF(A84="","",IF(OR(P84&lt;&gt;"",COUNTIFS(Lotes!$B$5:$B$204,A84,Lotes!$U$5:$U$204,1)&gt;0,Listas!$B$13&lt;&gt;"OK"),"REVISAR DADOS",IF(H84="Inativo","INATIVO",IF(Q84&lt;=F84,"REPOR","OK"))))</x:f>
      </x:c>
      <x:c r="O84" s="27"/>
      <x:c r="P84" s="163" t="str">
        <x:f>IF(COUNTA(A84:H84,O84)=0,"",IF(OR(A84="",COUNTIFS($A$5:$A$204,A84)&lt;&gt;1),"SKU ausente ou duplicado",IF(OR(B84="",D84=""),"Produto ou unidade ausente",IF(OR(NOT(ISNUMBER(F84)),F84&lt;0,NOT(ISNUMBER(G84)),G84&lt;0),"Mínimo ou custo inválido",IF(AND(H84&lt;&gt;"Ativo",H84&lt;&gt;"Inativo"),"Status de produto inválido","")))))</x:f>
      </x:c>
      <x:c r="Q84" s="163" t="str">
        <x:f>IF(A84="","",IF(OR(P84&lt;&gt;"",COUNTIFS(Lotes!$B$5:$B$204,A84,Lotes!$U$5:$U$204,1)&gt;0,Listas!$B$13&lt;&gt;"OK"),"n.a.",SUMIFS(Lotes!$V$5:$V$204,Lotes!$B$5:$B$204,A84)))</x:f>
      </x:c>
      <x:c r="R84" s="163" t="n">
        <x:f>IF(P84="",0,1)</x:f>
        <x:v>0</x:v>
      </x:c>
      <x:c r="S84" s="163" t="n">
        <x:f>IF(COUNTA(A84:H84,O84)=0,0,IF(OR(Listas!$B$19="Todos",A84=Listas!$B$19,A84=""),1,0))</x:f>
        <x:v>0</x:v>
      </x:c>
      <x:c r="T84" s="163" t="n">
        <x:f>IF(S84=1,COUNTIFS($S$5:S84,1),0)</x:f>
        <x:v>0</x:v>
      </x:c>
      <x:c r="U84" s="1"/>
      <x:c r="V84" s="1"/>
      <x:c r="W84" s="1"/>
    </x:row>
    <x:row r="85" ht="32" customHeight="1">
      <x:c r="A85" s="170"/>
      <x:c r="B85" s="170"/>
      <x:c r="C85" s="170"/>
      <x:c r="D85" s="170"/>
      <x:c r="E85" s="170"/>
      <x:c r="F85" s="171"/>
      <x:c r="G85" s="172"/>
      <x:c r="H85" s="170"/>
      <x:c r="I85" s="173" t="str">
        <x:f>IF(A85="","",IF(OR(P85&lt;&gt;"",COUNTIFS(Lotes!$B$5:$B$204,A85,Lotes!$U$5:$U$204,1)&gt;0,Listas!$B$13&lt;&gt;"OK"),"n.a.",SUMIFS(Lotes!$J$5:$J$204,Lotes!$B$5:$B$204,A85)))</x:f>
      </x:c>
      <x:c r="J85" s="174" t="str">
        <x:f>IF(A85="","",IF(OR(P85&lt;&gt;"",COUNTIFS(Lotes!$B$5:$B$204,A85,Lotes!$U$5:$U$204,1)&gt;0,Listas!$B$13&lt;&gt;"OK"),"n.a.",SUMIFS(Lotes!$L$5:$L$204,Lotes!$B$5:$B$204,A85)))</x:f>
      </x:c>
      <x:c r="K85" s="173" t="str">
        <x:f>IF(A85="","",IF(OR(P85&lt;&gt;"",COUNTIFS(Lotes!$B$5:$B$204,A85,Lotes!$U$5:$U$204,1)&gt;0,Listas!$B$13&lt;&gt;"OK"),"n.a.",COUNTIFS(Lotes!$B$5:$B$204,A85,Lotes!$J$5:$J$204,"&gt;0")))</x:f>
      </x:c>
      <x:c r="L85" s="173" t="str">
        <x:f>IF(A85="","",IF(OR(P85&lt;&gt;"",COUNTIFS(Lotes!$B$5:$B$204,A85,Lotes!$U$5:$U$204,1)&gt;0,Listas!$B$13&lt;&gt;"OK"),"n.a.",COUNTIFS(Lotes!$B$5:$B$204,A85,Lotes!$J$5:$J$204,"&gt;0",Lotes!$N$5:$N$204,"VENCIDO")))</x:f>
      </x:c>
      <x:c r="M85" s="173" t="str">
        <x:f>IF(A85="","",IF(OR(P85&lt;&gt;"",COUNTIFS(Lotes!$B$5:$B$204,A85,Lotes!$U$5:$U$204,1)&gt;0,Listas!$B$13&lt;&gt;"OK"),"n.a.",COUNTIFS(Lotes!$B$5:$B$204,A85,Lotes!$J$5:$J$204,"&gt;0",Lotes!$N$5:$N$204,"CRÍTICO")+COUNTIFS(Lotes!$B$5:$B$204,A85,Lotes!$J$5:$J$204,"&gt;0",Lotes!$N$5:$N$204,"VENCE NA JANELA")))</x:f>
      </x:c>
      <x:c r="N85" s="173" t="str">
        <x:f>IF(A85="","",IF(OR(P85&lt;&gt;"",COUNTIFS(Lotes!$B$5:$B$204,A85,Lotes!$U$5:$U$204,1)&gt;0,Listas!$B$13&lt;&gt;"OK"),"REVISAR DADOS",IF(H85="Inativo","INATIVO",IF(Q85&lt;=F85,"REPOR","OK"))))</x:f>
      </x:c>
      <x:c r="O85" s="27"/>
      <x:c r="P85" s="163" t="str">
        <x:f>IF(COUNTA(A85:H85,O85)=0,"",IF(OR(A85="",COUNTIFS($A$5:$A$204,A85)&lt;&gt;1),"SKU ausente ou duplicado",IF(OR(B85="",D85=""),"Produto ou unidade ausente",IF(OR(NOT(ISNUMBER(F85)),F85&lt;0,NOT(ISNUMBER(G85)),G85&lt;0),"Mínimo ou custo inválido",IF(AND(H85&lt;&gt;"Ativo",H85&lt;&gt;"Inativo"),"Status de produto inválido","")))))</x:f>
      </x:c>
      <x:c r="Q85" s="163" t="str">
        <x:f>IF(A85="","",IF(OR(P85&lt;&gt;"",COUNTIFS(Lotes!$B$5:$B$204,A85,Lotes!$U$5:$U$204,1)&gt;0,Listas!$B$13&lt;&gt;"OK"),"n.a.",SUMIFS(Lotes!$V$5:$V$204,Lotes!$B$5:$B$204,A85)))</x:f>
      </x:c>
      <x:c r="R85" s="163" t="n">
        <x:f>IF(P85="",0,1)</x:f>
        <x:v>0</x:v>
      </x:c>
      <x:c r="S85" s="163" t="n">
        <x:f>IF(COUNTA(A85:H85,O85)=0,0,IF(OR(Listas!$B$19="Todos",A85=Listas!$B$19,A85=""),1,0))</x:f>
        <x:v>0</x:v>
      </x:c>
      <x:c r="T85" s="163" t="n">
        <x:f>IF(S85=1,COUNTIFS($S$5:S85,1),0)</x:f>
        <x:v>0</x:v>
      </x:c>
      <x:c r="U85" s="1"/>
      <x:c r="V85" s="1"/>
      <x:c r="W85" s="1"/>
    </x:row>
    <x:row r="86" ht="32" customHeight="1">
      <x:c r="A86" s="170"/>
      <x:c r="B86" s="170"/>
      <x:c r="C86" s="170"/>
      <x:c r="D86" s="170"/>
      <x:c r="E86" s="170"/>
      <x:c r="F86" s="171"/>
      <x:c r="G86" s="172"/>
      <x:c r="H86" s="170"/>
      <x:c r="I86" s="173" t="str">
        <x:f>IF(A86="","",IF(OR(P86&lt;&gt;"",COUNTIFS(Lotes!$B$5:$B$204,A86,Lotes!$U$5:$U$204,1)&gt;0,Listas!$B$13&lt;&gt;"OK"),"n.a.",SUMIFS(Lotes!$J$5:$J$204,Lotes!$B$5:$B$204,A86)))</x:f>
      </x:c>
      <x:c r="J86" s="174" t="str">
        <x:f>IF(A86="","",IF(OR(P86&lt;&gt;"",COUNTIFS(Lotes!$B$5:$B$204,A86,Lotes!$U$5:$U$204,1)&gt;0,Listas!$B$13&lt;&gt;"OK"),"n.a.",SUMIFS(Lotes!$L$5:$L$204,Lotes!$B$5:$B$204,A86)))</x:f>
      </x:c>
      <x:c r="K86" s="173" t="str">
        <x:f>IF(A86="","",IF(OR(P86&lt;&gt;"",COUNTIFS(Lotes!$B$5:$B$204,A86,Lotes!$U$5:$U$204,1)&gt;0,Listas!$B$13&lt;&gt;"OK"),"n.a.",COUNTIFS(Lotes!$B$5:$B$204,A86,Lotes!$J$5:$J$204,"&gt;0")))</x:f>
      </x:c>
      <x:c r="L86" s="173" t="str">
        <x:f>IF(A86="","",IF(OR(P86&lt;&gt;"",COUNTIFS(Lotes!$B$5:$B$204,A86,Lotes!$U$5:$U$204,1)&gt;0,Listas!$B$13&lt;&gt;"OK"),"n.a.",COUNTIFS(Lotes!$B$5:$B$204,A86,Lotes!$J$5:$J$204,"&gt;0",Lotes!$N$5:$N$204,"VENCIDO")))</x:f>
      </x:c>
      <x:c r="M86" s="173" t="str">
        <x:f>IF(A86="","",IF(OR(P86&lt;&gt;"",COUNTIFS(Lotes!$B$5:$B$204,A86,Lotes!$U$5:$U$204,1)&gt;0,Listas!$B$13&lt;&gt;"OK"),"n.a.",COUNTIFS(Lotes!$B$5:$B$204,A86,Lotes!$J$5:$J$204,"&gt;0",Lotes!$N$5:$N$204,"CRÍTICO")+COUNTIFS(Lotes!$B$5:$B$204,A86,Lotes!$J$5:$J$204,"&gt;0",Lotes!$N$5:$N$204,"VENCE NA JANELA")))</x:f>
      </x:c>
      <x:c r="N86" s="173" t="str">
        <x:f>IF(A86="","",IF(OR(P86&lt;&gt;"",COUNTIFS(Lotes!$B$5:$B$204,A86,Lotes!$U$5:$U$204,1)&gt;0,Listas!$B$13&lt;&gt;"OK"),"REVISAR DADOS",IF(H86="Inativo","INATIVO",IF(Q86&lt;=F86,"REPOR","OK"))))</x:f>
      </x:c>
      <x:c r="O86" s="27"/>
      <x:c r="P86" s="163" t="str">
        <x:f>IF(COUNTA(A86:H86,O86)=0,"",IF(OR(A86="",COUNTIFS($A$5:$A$204,A86)&lt;&gt;1),"SKU ausente ou duplicado",IF(OR(B86="",D86=""),"Produto ou unidade ausente",IF(OR(NOT(ISNUMBER(F86)),F86&lt;0,NOT(ISNUMBER(G86)),G86&lt;0),"Mínimo ou custo inválido",IF(AND(H86&lt;&gt;"Ativo",H86&lt;&gt;"Inativo"),"Status de produto inválido","")))))</x:f>
      </x:c>
      <x:c r="Q86" s="163" t="str">
        <x:f>IF(A86="","",IF(OR(P86&lt;&gt;"",COUNTIFS(Lotes!$B$5:$B$204,A86,Lotes!$U$5:$U$204,1)&gt;0,Listas!$B$13&lt;&gt;"OK"),"n.a.",SUMIFS(Lotes!$V$5:$V$204,Lotes!$B$5:$B$204,A86)))</x:f>
      </x:c>
      <x:c r="R86" s="163" t="n">
        <x:f>IF(P86="",0,1)</x:f>
        <x:v>0</x:v>
      </x:c>
      <x:c r="S86" s="163" t="n">
        <x:f>IF(COUNTA(A86:H86,O86)=0,0,IF(OR(Listas!$B$19="Todos",A86=Listas!$B$19,A86=""),1,0))</x:f>
        <x:v>0</x:v>
      </x:c>
      <x:c r="T86" s="163" t="n">
        <x:f>IF(S86=1,COUNTIFS($S$5:S86,1),0)</x:f>
        <x:v>0</x:v>
      </x:c>
      <x:c r="U86" s="1"/>
      <x:c r="V86" s="1"/>
      <x:c r="W86" s="1"/>
    </x:row>
    <x:row r="87" ht="32" customHeight="1">
      <x:c r="A87" s="170"/>
      <x:c r="B87" s="170"/>
      <x:c r="C87" s="170"/>
      <x:c r="D87" s="170"/>
      <x:c r="E87" s="170"/>
      <x:c r="F87" s="171"/>
      <x:c r="G87" s="172"/>
      <x:c r="H87" s="170"/>
      <x:c r="I87" s="173" t="str">
        <x:f>IF(A87="","",IF(OR(P87&lt;&gt;"",COUNTIFS(Lotes!$B$5:$B$204,A87,Lotes!$U$5:$U$204,1)&gt;0,Listas!$B$13&lt;&gt;"OK"),"n.a.",SUMIFS(Lotes!$J$5:$J$204,Lotes!$B$5:$B$204,A87)))</x:f>
      </x:c>
      <x:c r="J87" s="174" t="str">
        <x:f>IF(A87="","",IF(OR(P87&lt;&gt;"",COUNTIFS(Lotes!$B$5:$B$204,A87,Lotes!$U$5:$U$204,1)&gt;0,Listas!$B$13&lt;&gt;"OK"),"n.a.",SUMIFS(Lotes!$L$5:$L$204,Lotes!$B$5:$B$204,A87)))</x:f>
      </x:c>
      <x:c r="K87" s="173" t="str">
        <x:f>IF(A87="","",IF(OR(P87&lt;&gt;"",COUNTIFS(Lotes!$B$5:$B$204,A87,Lotes!$U$5:$U$204,1)&gt;0,Listas!$B$13&lt;&gt;"OK"),"n.a.",COUNTIFS(Lotes!$B$5:$B$204,A87,Lotes!$J$5:$J$204,"&gt;0")))</x:f>
      </x:c>
      <x:c r="L87" s="173" t="str">
        <x:f>IF(A87="","",IF(OR(P87&lt;&gt;"",COUNTIFS(Lotes!$B$5:$B$204,A87,Lotes!$U$5:$U$204,1)&gt;0,Listas!$B$13&lt;&gt;"OK"),"n.a.",COUNTIFS(Lotes!$B$5:$B$204,A87,Lotes!$J$5:$J$204,"&gt;0",Lotes!$N$5:$N$204,"VENCIDO")))</x:f>
      </x:c>
      <x:c r="M87" s="173" t="str">
        <x:f>IF(A87="","",IF(OR(P87&lt;&gt;"",COUNTIFS(Lotes!$B$5:$B$204,A87,Lotes!$U$5:$U$204,1)&gt;0,Listas!$B$13&lt;&gt;"OK"),"n.a.",COUNTIFS(Lotes!$B$5:$B$204,A87,Lotes!$J$5:$J$204,"&gt;0",Lotes!$N$5:$N$204,"CRÍTICO")+COUNTIFS(Lotes!$B$5:$B$204,A87,Lotes!$J$5:$J$204,"&gt;0",Lotes!$N$5:$N$204,"VENCE NA JANELA")))</x:f>
      </x:c>
      <x:c r="N87" s="173" t="str">
        <x:f>IF(A87="","",IF(OR(P87&lt;&gt;"",COUNTIFS(Lotes!$B$5:$B$204,A87,Lotes!$U$5:$U$204,1)&gt;0,Listas!$B$13&lt;&gt;"OK"),"REVISAR DADOS",IF(H87="Inativo","INATIVO",IF(Q87&lt;=F87,"REPOR","OK"))))</x:f>
      </x:c>
      <x:c r="O87" s="27"/>
      <x:c r="P87" s="163" t="str">
        <x:f>IF(COUNTA(A87:H87,O87)=0,"",IF(OR(A87="",COUNTIFS($A$5:$A$204,A87)&lt;&gt;1),"SKU ausente ou duplicado",IF(OR(B87="",D87=""),"Produto ou unidade ausente",IF(OR(NOT(ISNUMBER(F87)),F87&lt;0,NOT(ISNUMBER(G87)),G87&lt;0),"Mínimo ou custo inválido",IF(AND(H87&lt;&gt;"Ativo",H87&lt;&gt;"Inativo"),"Status de produto inválido","")))))</x:f>
      </x:c>
      <x:c r="Q87" s="163" t="str">
        <x:f>IF(A87="","",IF(OR(P87&lt;&gt;"",COUNTIFS(Lotes!$B$5:$B$204,A87,Lotes!$U$5:$U$204,1)&gt;0,Listas!$B$13&lt;&gt;"OK"),"n.a.",SUMIFS(Lotes!$V$5:$V$204,Lotes!$B$5:$B$204,A87)))</x:f>
      </x:c>
      <x:c r="R87" s="163" t="n">
        <x:f>IF(P87="",0,1)</x:f>
        <x:v>0</x:v>
      </x:c>
      <x:c r="S87" s="163" t="n">
        <x:f>IF(COUNTA(A87:H87,O87)=0,0,IF(OR(Listas!$B$19="Todos",A87=Listas!$B$19,A87=""),1,0))</x:f>
        <x:v>0</x:v>
      </x:c>
      <x:c r="T87" s="163" t="n">
        <x:f>IF(S87=1,COUNTIFS($S$5:S87,1),0)</x:f>
        <x:v>0</x:v>
      </x:c>
      <x:c r="U87" s="1"/>
      <x:c r="V87" s="1"/>
      <x:c r="W87" s="1"/>
    </x:row>
    <x:row r="88" ht="32" customHeight="1">
      <x:c r="A88" s="170"/>
      <x:c r="B88" s="170"/>
      <x:c r="C88" s="170"/>
      <x:c r="D88" s="170"/>
      <x:c r="E88" s="170"/>
      <x:c r="F88" s="171"/>
      <x:c r="G88" s="172"/>
      <x:c r="H88" s="170"/>
      <x:c r="I88" s="173" t="str">
        <x:f>IF(A88="","",IF(OR(P88&lt;&gt;"",COUNTIFS(Lotes!$B$5:$B$204,A88,Lotes!$U$5:$U$204,1)&gt;0,Listas!$B$13&lt;&gt;"OK"),"n.a.",SUMIFS(Lotes!$J$5:$J$204,Lotes!$B$5:$B$204,A88)))</x:f>
      </x:c>
      <x:c r="J88" s="174" t="str">
        <x:f>IF(A88="","",IF(OR(P88&lt;&gt;"",COUNTIFS(Lotes!$B$5:$B$204,A88,Lotes!$U$5:$U$204,1)&gt;0,Listas!$B$13&lt;&gt;"OK"),"n.a.",SUMIFS(Lotes!$L$5:$L$204,Lotes!$B$5:$B$204,A88)))</x:f>
      </x:c>
      <x:c r="K88" s="173" t="str">
        <x:f>IF(A88="","",IF(OR(P88&lt;&gt;"",COUNTIFS(Lotes!$B$5:$B$204,A88,Lotes!$U$5:$U$204,1)&gt;0,Listas!$B$13&lt;&gt;"OK"),"n.a.",COUNTIFS(Lotes!$B$5:$B$204,A88,Lotes!$J$5:$J$204,"&gt;0")))</x:f>
      </x:c>
      <x:c r="L88" s="173" t="str">
        <x:f>IF(A88="","",IF(OR(P88&lt;&gt;"",COUNTIFS(Lotes!$B$5:$B$204,A88,Lotes!$U$5:$U$204,1)&gt;0,Listas!$B$13&lt;&gt;"OK"),"n.a.",COUNTIFS(Lotes!$B$5:$B$204,A88,Lotes!$J$5:$J$204,"&gt;0",Lotes!$N$5:$N$204,"VENCIDO")))</x:f>
      </x:c>
      <x:c r="M88" s="173" t="str">
        <x:f>IF(A88="","",IF(OR(P88&lt;&gt;"",COUNTIFS(Lotes!$B$5:$B$204,A88,Lotes!$U$5:$U$204,1)&gt;0,Listas!$B$13&lt;&gt;"OK"),"n.a.",COUNTIFS(Lotes!$B$5:$B$204,A88,Lotes!$J$5:$J$204,"&gt;0",Lotes!$N$5:$N$204,"CRÍTICO")+COUNTIFS(Lotes!$B$5:$B$204,A88,Lotes!$J$5:$J$204,"&gt;0",Lotes!$N$5:$N$204,"VENCE NA JANELA")))</x:f>
      </x:c>
      <x:c r="N88" s="173" t="str">
        <x:f>IF(A88="","",IF(OR(P88&lt;&gt;"",COUNTIFS(Lotes!$B$5:$B$204,A88,Lotes!$U$5:$U$204,1)&gt;0,Listas!$B$13&lt;&gt;"OK"),"REVISAR DADOS",IF(H88="Inativo","INATIVO",IF(Q88&lt;=F88,"REPOR","OK"))))</x:f>
      </x:c>
      <x:c r="O88" s="27"/>
      <x:c r="P88" s="163" t="str">
        <x:f>IF(COUNTA(A88:H88,O88)=0,"",IF(OR(A88="",COUNTIFS($A$5:$A$204,A88)&lt;&gt;1),"SKU ausente ou duplicado",IF(OR(B88="",D88=""),"Produto ou unidade ausente",IF(OR(NOT(ISNUMBER(F88)),F88&lt;0,NOT(ISNUMBER(G88)),G88&lt;0),"Mínimo ou custo inválido",IF(AND(H88&lt;&gt;"Ativo",H88&lt;&gt;"Inativo"),"Status de produto inválido","")))))</x:f>
      </x:c>
      <x:c r="Q88" s="163" t="str">
        <x:f>IF(A88="","",IF(OR(P88&lt;&gt;"",COUNTIFS(Lotes!$B$5:$B$204,A88,Lotes!$U$5:$U$204,1)&gt;0,Listas!$B$13&lt;&gt;"OK"),"n.a.",SUMIFS(Lotes!$V$5:$V$204,Lotes!$B$5:$B$204,A88)))</x:f>
      </x:c>
      <x:c r="R88" s="163" t="n">
        <x:f>IF(P88="",0,1)</x:f>
        <x:v>0</x:v>
      </x:c>
      <x:c r="S88" s="163" t="n">
        <x:f>IF(COUNTA(A88:H88,O88)=0,0,IF(OR(Listas!$B$19="Todos",A88=Listas!$B$19,A88=""),1,0))</x:f>
        <x:v>0</x:v>
      </x:c>
      <x:c r="T88" s="163" t="n">
        <x:f>IF(S88=1,COUNTIFS($S$5:S88,1),0)</x:f>
        <x:v>0</x:v>
      </x:c>
      <x:c r="U88" s="1"/>
      <x:c r="V88" s="1"/>
      <x:c r="W88" s="1"/>
    </x:row>
    <x:row r="89" ht="32" customHeight="1">
      <x:c r="A89" s="170"/>
      <x:c r="B89" s="170"/>
      <x:c r="C89" s="170"/>
      <x:c r="D89" s="170"/>
      <x:c r="E89" s="170"/>
      <x:c r="F89" s="171"/>
      <x:c r="G89" s="172"/>
      <x:c r="H89" s="170"/>
      <x:c r="I89" s="173" t="str">
        <x:f>IF(A89="","",IF(OR(P89&lt;&gt;"",COUNTIFS(Lotes!$B$5:$B$204,A89,Lotes!$U$5:$U$204,1)&gt;0,Listas!$B$13&lt;&gt;"OK"),"n.a.",SUMIFS(Lotes!$J$5:$J$204,Lotes!$B$5:$B$204,A89)))</x:f>
      </x:c>
      <x:c r="J89" s="174" t="str">
        <x:f>IF(A89="","",IF(OR(P89&lt;&gt;"",COUNTIFS(Lotes!$B$5:$B$204,A89,Lotes!$U$5:$U$204,1)&gt;0,Listas!$B$13&lt;&gt;"OK"),"n.a.",SUMIFS(Lotes!$L$5:$L$204,Lotes!$B$5:$B$204,A89)))</x:f>
      </x:c>
      <x:c r="K89" s="173" t="str">
        <x:f>IF(A89="","",IF(OR(P89&lt;&gt;"",COUNTIFS(Lotes!$B$5:$B$204,A89,Lotes!$U$5:$U$204,1)&gt;0,Listas!$B$13&lt;&gt;"OK"),"n.a.",COUNTIFS(Lotes!$B$5:$B$204,A89,Lotes!$J$5:$J$204,"&gt;0")))</x:f>
      </x:c>
      <x:c r="L89" s="173" t="str">
        <x:f>IF(A89="","",IF(OR(P89&lt;&gt;"",COUNTIFS(Lotes!$B$5:$B$204,A89,Lotes!$U$5:$U$204,1)&gt;0,Listas!$B$13&lt;&gt;"OK"),"n.a.",COUNTIFS(Lotes!$B$5:$B$204,A89,Lotes!$J$5:$J$204,"&gt;0",Lotes!$N$5:$N$204,"VENCIDO")))</x:f>
      </x:c>
      <x:c r="M89" s="173" t="str">
        <x:f>IF(A89="","",IF(OR(P89&lt;&gt;"",COUNTIFS(Lotes!$B$5:$B$204,A89,Lotes!$U$5:$U$204,1)&gt;0,Listas!$B$13&lt;&gt;"OK"),"n.a.",COUNTIFS(Lotes!$B$5:$B$204,A89,Lotes!$J$5:$J$204,"&gt;0",Lotes!$N$5:$N$204,"CRÍTICO")+COUNTIFS(Lotes!$B$5:$B$204,A89,Lotes!$J$5:$J$204,"&gt;0",Lotes!$N$5:$N$204,"VENCE NA JANELA")))</x:f>
      </x:c>
      <x:c r="N89" s="173" t="str">
        <x:f>IF(A89="","",IF(OR(P89&lt;&gt;"",COUNTIFS(Lotes!$B$5:$B$204,A89,Lotes!$U$5:$U$204,1)&gt;0,Listas!$B$13&lt;&gt;"OK"),"REVISAR DADOS",IF(H89="Inativo","INATIVO",IF(Q89&lt;=F89,"REPOR","OK"))))</x:f>
      </x:c>
      <x:c r="O89" s="27"/>
      <x:c r="P89" s="163" t="str">
        <x:f>IF(COUNTA(A89:H89,O89)=0,"",IF(OR(A89="",COUNTIFS($A$5:$A$204,A89)&lt;&gt;1),"SKU ausente ou duplicado",IF(OR(B89="",D89=""),"Produto ou unidade ausente",IF(OR(NOT(ISNUMBER(F89)),F89&lt;0,NOT(ISNUMBER(G89)),G89&lt;0),"Mínimo ou custo inválido",IF(AND(H89&lt;&gt;"Ativo",H89&lt;&gt;"Inativo"),"Status de produto inválido","")))))</x:f>
      </x:c>
      <x:c r="Q89" s="163" t="str">
        <x:f>IF(A89="","",IF(OR(P89&lt;&gt;"",COUNTIFS(Lotes!$B$5:$B$204,A89,Lotes!$U$5:$U$204,1)&gt;0,Listas!$B$13&lt;&gt;"OK"),"n.a.",SUMIFS(Lotes!$V$5:$V$204,Lotes!$B$5:$B$204,A89)))</x:f>
      </x:c>
      <x:c r="R89" s="163" t="n">
        <x:f>IF(P89="",0,1)</x:f>
        <x:v>0</x:v>
      </x:c>
      <x:c r="S89" s="163" t="n">
        <x:f>IF(COUNTA(A89:H89,O89)=0,0,IF(OR(Listas!$B$19="Todos",A89=Listas!$B$19,A89=""),1,0))</x:f>
        <x:v>0</x:v>
      </x:c>
      <x:c r="T89" s="163" t="n">
        <x:f>IF(S89=1,COUNTIFS($S$5:S89,1),0)</x:f>
        <x:v>0</x:v>
      </x:c>
      <x:c r="U89" s="1"/>
      <x:c r="V89" s="1"/>
      <x:c r="W89" s="1"/>
    </x:row>
    <x:row r="90" ht="32" customHeight="1">
      <x:c r="A90" s="170"/>
      <x:c r="B90" s="170"/>
      <x:c r="C90" s="170"/>
      <x:c r="D90" s="170"/>
      <x:c r="E90" s="170"/>
      <x:c r="F90" s="171"/>
      <x:c r="G90" s="172"/>
      <x:c r="H90" s="170"/>
      <x:c r="I90" s="173" t="str">
        <x:f>IF(A90="","",IF(OR(P90&lt;&gt;"",COUNTIFS(Lotes!$B$5:$B$204,A90,Lotes!$U$5:$U$204,1)&gt;0,Listas!$B$13&lt;&gt;"OK"),"n.a.",SUMIFS(Lotes!$J$5:$J$204,Lotes!$B$5:$B$204,A90)))</x:f>
      </x:c>
      <x:c r="J90" s="174" t="str">
        <x:f>IF(A90="","",IF(OR(P90&lt;&gt;"",COUNTIFS(Lotes!$B$5:$B$204,A90,Lotes!$U$5:$U$204,1)&gt;0,Listas!$B$13&lt;&gt;"OK"),"n.a.",SUMIFS(Lotes!$L$5:$L$204,Lotes!$B$5:$B$204,A90)))</x:f>
      </x:c>
      <x:c r="K90" s="173" t="str">
        <x:f>IF(A90="","",IF(OR(P90&lt;&gt;"",COUNTIFS(Lotes!$B$5:$B$204,A90,Lotes!$U$5:$U$204,1)&gt;0,Listas!$B$13&lt;&gt;"OK"),"n.a.",COUNTIFS(Lotes!$B$5:$B$204,A90,Lotes!$J$5:$J$204,"&gt;0")))</x:f>
      </x:c>
      <x:c r="L90" s="173" t="str">
        <x:f>IF(A90="","",IF(OR(P90&lt;&gt;"",COUNTIFS(Lotes!$B$5:$B$204,A90,Lotes!$U$5:$U$204,1)&gt;0,Listas!$B$13&lt;&gt;"OK"),"n.a.",COUNTIFS(Lotes!$B$5:$B$204,A90,Lotes!$J$5:$J$204,"&gt;0",Lotes!$N$5:$N$204,"VENCIDO")))</x:f>
      </x:c>
      <x:c r="M90" s="173" t="str">
        <x:f>IF(A90="","",IF(OR(P90&lt;&gt;"",COUNTIFS(Lotes!$B$5:$B$204,A90,Lotes!$U$5:$U$204,1)&gt;0,Listas!$B$13&lt;&gt;"OK"),"n.a.",COUNTIFS(Lotes!$B$5:$B$204,A90,Lotes!$J$5:$J$204,"&gt;0",Lotes!$N$5:$N$204,"CRÍTICO")+COUNTIFS(Lotes!$B$5:$B$204,A90,Lotes!$J$5:$J$204,"&gt;0",Lotes!$N$5:$N$204,"VENCE NA JANELA")))</x:f>
      </x:c>
      <x:c r="N90" s="173" t="str">
        <x:f>IF(A90="","",IF(OR(P90&lt;&gt;"",COUNTIFS(Lotes!$B$5:$B$204,A90,Lotes!$U$5:$U$204,1)&gt;0,Listas!$B$13&lt;&gt;"OK"),"REVISAR DADOS",IF(H90="Inativo","INATIVO",IF(Q90&lt;=F90,"REPOR","OK"))))</x:f>
      </x:c>
      <x:c r="O90" s="27"/>
      <x:c r="P90" s="163" t="str">
        <x:f>IF(COUNTA(A90:H90,O90)=0,"",IF(OR(A90="",COUNTIFS($A$5:$A$204,A90)&lt;&gt;1),"SKU ausente ou duplicado",IF(OR(B90="",D90=""),"Produto ou unidade ausente",IF(OR(NOT(ISNUMBER(F90)),F90&lt;0,NOT(ISNUMBER(G90)),G90&lt;0),"Mínimo ou custo inválido",IF(AND(H90&lt;&gt;"Ativo",H90&lt;&gt;"Inativo"),"Status de produto inválido","")))))</x:f>
      </x:c>
      <x:c r="Q90" s="163" t="str">
        <x:f>IF(A90="","",IF(OR(P90&lt;&gt;"",COUNTIFS(Lotes!$B$5:$B$204,A90,Lotes!$U$5:$U$204,1)&gt;0,Listas!$B$13&lt;&gt;"OK"),"n.a.",SUMIFS(Lotes!$V$5:$V$204,Lotes!$B$5:$B$204,A90)))</x:f>
      </x:c>
      <x:c r="R90" s="163" t="n">
        <x:f>IF(P90="",0,1)</x:f>
        <x:v>0</x:v>
      </x:c>
      <x:c r="S90" s="163" t="n">
        <x:f>IF(COUNTA(A90:H90,O90)=0,0,IF(OR(Listas!$B$19="Todos",A90=Listas!$B$19,A90=""),1,0))</x:f>
        <x:v>0</x:v>
      </x:c>
      <x:c r="T90" s="163" t="n">
        <x:f>IF(S90=1,COUNTIFS($S$5:S90,1),0)</x:f>
        <x:v>0</x:v>
      </x:c>
      <x:c r="U90" s="1"/>
      <x:c r="V90" s="1"/>
      <x:c r="W90" s="1"/>
    </x:row>
    <x:row r="91" ht="32" customHeight="1">
      <x:c r="A91" s="170"/>
      <x:c r="B91" s="170"/>
      <x:c r="C91" s="170"/>
      <x:c r="D91" s="170"/>
      <x:c r="E91" s="170"/>
      <x:c r="F91" s="171"/>
      <x:c r="G91" s="172"/>
      <x:c r="H91" s="170"/>
      <x:c r="I91" s="173" t="str">
        <x:f>IF(A91="","",IF(OR(P91&lt;&gt;"",COUNTIFS(Lotes!$B$5:$B$204,A91,Lotes!$U$5:$U$204,1)&gt;0,Listas!$B$13&lt;&gt;"OK"),"n.a.",SUMIFS(Lotes!$J$5:$J$204,Lotes!$B$5:$B$204,A91)))</x:f>
      </x:c>
      <x:c r="J91" s="174" t="str">
        <x:f>IF(A91="","",IF(OR(P91&lt;&gt;"",COUNTIFS(Lotes!$B$5:$B$204,A91,Lotes!$U$5:$U$204,1)&gt;0,Listas!$B$13&lt;&gt;"OK"),"n.a.",SUMIFS(Lotes!$L$5:$L$204,Lotes!$B$5:$B$204,A91)))</x:f>
      </x:c>
      <x:c r="K91" s="173" t="str">
        <x:f>IF(A91="","",IF(OR(P91&lt;&gt;"",COUNTIFS(Lotes!$B$5:$B$204,A91,Lotes!$U$5:$U$204,1)&gt;0,Listas!$B$13&lt;&gt;"OK"),"n.a.",COUNTIFS(Lotes!$B$5:$B$204,A91,Lotes!$J$5:$J$204,"&gt;0")))</x:f>
      </x:c>
      <x:c r="L91" s="173" t="str">
        <x:f>IF(A91="","",IF(OR(P91&lt;&gt;"",COUNTIFS(Lotes!$B$5:$B$204,A91,Lotes!$U$5:$U$204,1)&gt;0,Listas!$B$13&lt;&gt;"OK"),"n.a.",COUNTIFS(Lotes!$B$5:$B$204,A91,Lotes!$J$5:$J$204,"&gt;0",Lotes!$N$5:$N$204,"VENCIDO")))</x:f>
      </x:c>
      <x:c r="M91" s="173" t="str">
        <x:f>IF(A91="","",IF(OR(P91&lt;&gt;"",COUNTIFS(Lotes!$B$5:$B$204,A91,Lotes!$U$5:$U$204,1)&gt;0,Listas!$B$13&lt;&gt;"OK"),"n.a.",COUNTIFS(Lotes!$B$5:$B$204,A91,Lotes!$J$5:$J$204,"&gt;0",Lotes!$N$5:$N$204,"CRÍTICO")+COUNTIFS(Lotes!$B$5:$B$204,A91,Lotes!$J$5:$J$204,"&gt;0",Lotes!$N$5:$N$204,"VENCE NA JANELA")))</x:f>
      </x:c>
      <x:c r="N91" s="173" t="str">
        <x:f>IF(A91="","",IF(OR(P91&lt;&gt;"",COUNTIFS(Lotes!$B$5:$B$204,A91,Lotes!$U$5:$U$204,1)&gt;0,Listas!$B$13&lt;&gt;"OK"),"REVISAR DADOS",IF(H91="Inativo","INATIVO",IF(Q91&lt;=F91,"REPOR","OK"))))</x:f>
      </x:c>
      <x:c r="O91" s="27"/>
      <x:c r="P91" s="163" t="str">
        <x:f>IF(COUNTA(A91:H91,O91)=0,"",IF(OR(A91="",COUNTIFS($A$5:$A$204,A91)&lt;&gt;1),"SKU ausente ou duplicado",IF(OR(B91="",D91=""),"Produto ou unidade ausente",IF(OR(NOT(ISNUMBER(F91)),F91&lt;0,NOT(ISNUMBER(G91)),G91&lt;0),"Mínimo ou custo inválido",IF(AND(H91&lt;&gt;"Ativo",H91&lt;&gt;"Inativo"),"Status de produto inválido","")))))</x:f>
      </x:c>
      <x:c r="Q91" s="163" t="str">
        <x:f>IF(A91="","",IF(OR(P91&lt;&gt;"",COUNTIFS(Lotes!$B$5:$B$204,A91,Lotes!$U$5:$U$204,1)&gt;0,Listas!$B$13&lt;&gt;"OK"),"n.a.",SUMIFS(Lotes!$V$5:$V$204,Lotes!$B$5:$B$204,A91)))</x:f>
      </x:c>
      <x:c r="R91" s="163" t="n">
        <x:f>IF(P91="",0,1)</x:f>
        <x:v>0</x:v>
      </x:c>
      <x:c r="S91" s="163" t="n">
        <x:f>IF(COUNTA(A91:H91,O91)=0,0,IF(OR(Listas!$B$19="Todos",A91=Listas!$B$19,A91=""),1,0))</x:f>
        <x:v>0</x:v>
      </x:c>
      <x:c r="T91" s="163" t="n">
        <x:f>IF(S91=1,COUNTIFS($S$5:S91,1),0)</x:f>
        <x:v>0</x:v>
      </x:c>
      <x:c r="U91" s="1"/>
      <x:c r="V91" s="1"/>
      <x:c r="W91" s="1"/>
    </x:row>
    <x:row r="92" ht="32" customHeight="1">
      <x:c r="A92" s="170"/>
      <x:c r="B92" s="170"/>
      <x:c r="C92" s="170"/>
      <x:c r="D92" s="170"/>
      <x:c r="E92" s="170"/>
      <x:c r="F92" s="171"/>
      <x:c r="G92" s="172"/>
      <x:c r="H92" s="170"/>
      <x:c r="I92" s="173" t="str">
        <x:f>IF(A92="","",IF(OR(P92&lt;&gt;"",COUNTIFS(Lotes!$B$5:$B$204,A92,Lotes!$U$5:$U$204,1)&gt;0,Listas!$B$13&lt;&gt;"OK"),"n.a.",SUMIFS(Lotes!$J$5:$J$204,Lotes!$B$5:$B$204,A92)))</x:f>
      </x:c>
      <x:c r="J92" s="174" t="str">
        <x:f>IF(A92="","",IF(OR(P92&lt;&gt;"",COUNTIFS(Lotes!$B$5:$B$204,A92,Lotes!$U$5:$U$204,1)&gt;0,Listas!$B$13&lt;&gt;"OK"),"n.a.",SUMIFS(Lotes!$L$5:$L$204,Lotes!$B$5:$B$204,A92)))</x:f>
      </x:c>
      <x:c r="K92" s="173" t="str">
        <x:f>IF(A92="","",IF(OR(P92&lt;&gt;"",COUNTIFS(Lotes!$B$5:$B$204,A92,Lotes!$U$5:$U$204,1)&gt;0,Listas!$B$13&lt;&gt;"OK"),"n.a.",COUNTIFS(Lotes!$B$5:$B$204,A92,Lotes!$J$5:$J$204,"&gt;0")))</x:f>
      </x:c>
      <x:c r="L92" s="173" t="str">
        <x:f>IF(A92="","",IF(OR(P92&lt;&gt;"",COUNTIFS(Lotes!$B$5:$B$204,A92,Lotes!$U$5:$U$204,1)&gt;0,Listas!$B$13&lt;&gt;"OK"),"n.a.",COUNTIFS(Lotes!$B$5:$B$204,A92,Lotes!$J$5:$J$204,"&gt;0",Lotes!$N$5:$N$204,"VENCIDO")))</x:f>
      </x:c>
      <x:c r="M92" s="173" t="str">
        <x:f>IF(A92="","",IF(OR(P92&lt;&gt;"",COUNTIFS(Lotes!$B$5:$B$204,A92,Lotes!$U$5:$U$204,1)&gt;0,Listas!$B$13&lt;&gt;"OK"),"n.a.",COUNTIFS(Lotes!$B$5:$B$204,A92,Lotes!$J$5:$J$204,"&gt;0",Lotes!$N$5:$N$204,"CRÍTICO")+COUNTIFS(Lotes!$B$5:$B$204,A92,Lotes!$J$5:$J$204,"&gt;0",Lotes!$N$5:$N$204,"VENCE NA JANELA")))</x:f>
      </x:c>
      <x:c r="N92" s="173" t="str">
        <x:f>IF(A92="","",IF(OR(P92&lt;&gt;"",COUNTIFS(Lotes!$B$5:$B$204,A92,Lotes!$U$5:$U$204,1)&gt;0,Listas!$B$13&lt;&gt;"OK"),"REVISAR DADOS",IF(H92="Inativo","INATIVO",IF(Q92&lt;=F92,"REPOR","OK"))))</x:f>
      </x:c>
      <x:c r="O92" s="27"/>
      <x:c r="P92" s="163" t="str">
        <x:f>IF(COUNTA(A92:H92,O92)=0,"",IF(OR(A92="",COUNTIFS($A$5:$A$204,A92)&lt;&gt;1),"SKU ausente ou duplicado",IF(OR(B92="",D92=""),"Produto ou unidade ausente",IF(OR(NOT(ISNUMBER(F92)),F92&lt;0,NOT(ISNUMBER(G92)),G92&lt;0),"Mínimo ou custo inválido",IF(AND(H92&lt;&gt;"Ativo",H92&lt;&gt;"Inativo"),"Status de produto inválido","")))))</x:f>
      </x:c>
      <x:c r="Q92" s="163" t="str">
        <x:f>IF(A92="","",IF(OR(P92&lt;&gt;"",COUNTIFS(Lotes!$B$5:$B$204,A92,Lotes!$U$5:$U$204,1)&gt;0,Listas!$B$13&lt;&gt;"OK"),"n.a.",SUMIFS(Lotes!$V$5:$V$204,Lotes!$B$5:$B$204,A92)))</x:f>
      </x:c>
      <x:c r="R92" s="163" t="n">
        <x:f>IF(P92="",0,1)</x:f>
        <x:v>0</x:v>
      </x:c>
      <x:c r="S92" s="163" t="n">
        <x:f>IF(COUNTA(A92:H92,O92)=0,0,IF(OR(Listas!$B$19="Todos",A92=Listas!$B$19,A92=""),1,0))</x:f>
        <x:v>0</x:v>
      </x:c>
      <x:c r="T92" s="163" t="n">
        <x:f>IF(S92=1,COUNTIFS($S$5:S92,1),0)</x:f>
        <x:v>0</x:v>
      </x:c>
      <x:c r="U92" s="1"/>
      <x:c r="V92" s="1"/>
      <x:c r="W92" s="1"/>
    </x:row>
    <x:row r="93" ht="32" customHeight="1">
      <x:c r="A93" s="170"/>
      <x:c r="B93" s="170"/>
      <x:c r="C93" s="170"/>
      <x:c r="D93" s="170"/>
      <x:c r="E93" s="170"/>
      <x:c r="F93" s="171"/>
      <x:c r="G93" s="172"/>
      <x:c r="H93" s="170"/>
      <x:c r="I93" s="173" t="str">
        <x:f>IF(A93="","",IF(OR(P93&lt;&gt;"",COUNTIFS(Lotes!$B$5:$B$204,A93,Lotes!$U$5:$U$204,1)&gt;0,Listas!$B$13&lt;&gt;"OK"),"n.a.",SUMIFS(Lotes!$J$5:$J$204,Lotes!$B$5:$B$204,A93)))</x:f>
      </x:c>
      <x:c r="J93" s="174" t="str">
        <x:f>IF(A93="","",IF(OR(P93&lt;&gt;"",COUNTIFS(Lotes!$B$5:$B$204,A93,Lotes!$U$5:$U$204,1)&gt;0,Listas!$B$13&lt;&gt;"OK"),"n.a.",SUMIFS(Lotes!$L$5:$L$204,Lotes!$B$5:$B$204,A93)))</x:f>
      </x:c>
      <x:c r="K93" s="173" t="str">
        <x:f>IF(A93="","",IF(OR(P93&lt;&gt;"",COUNTIFS(Lotes!$B$5:$B$204,A93,Lotes!$U$5:$U$204,1)&gt;0,Listas!$B$13&lt;&gt;"OK"),"n.a.",COUNTIFS(Lotes!$B$5:$B$204,A93,Lotes!$J$5:$J$204,"&gt;0")))</x:f>
      </x:c>
      <x:c r="L93" s="173" t="str">
        <x:f>IF(A93="","",IF(OR(P93&lt;&gt;"",COUNTIFS(Lotes!$B$5:$B$204,A93,Lotes!$U$5:$U$204,1)&gt;0,Listas!$B$13&lt;&gt;"OK"),"n.a.",COUNTIFS(Lotes!$B$5:$B$204,A93,Lotes!$J$5:$J$204,"&gt;0",Lotes!$N$5:$N$204,"VENCIDO")))</x:f>
      </x:c>
      <x:c r="M93" s="173" t="str">
        <x:f>IF(A93="","",IF(OR(P93&lt;&gt;"",COUNTIFS(Lotes!$B$5:$B$204,A93,Lotes!$U$5:$U$204,1)&gt;0,Listas!$B$13&lt;&gt;"OK"),"n.a.",COUNTIFS(Lotes!$B$5:$B$204,A93,Lotes!$J$5:$J$204,"&gt;0",Lotes!$N$5:$N$204,"CRÍTICO")+COUNTIFS(Lotes!$B$5:$B$204,A93,Lotes!$J$5:$J$204,"&gt;0",Lotes!$N$5:$N$204,"VENCE NA JANELA")))</x:f>
      </x:c>
      <x:c r="N93" s="173" t="str">
        <x:f>IF(A93="","",IF(OR(P93&lt;&gt;"",COUNTIFS(Lotes!$B$5:$B$204,A93,Lotes!$U$5:$U$204,1)&gt;0,Listas!$B$13&lt;&gt;"OK"),"REVISAR DADOS",IF(H93="Inativo","INATIVO",IF(Q93&lt;=F93,"REPOR","OK"))))</x:f>
      </x:c>
      <x:c r="O93" s="27"/>
      <x:c r="P93" s="163" t="str">
        <x:f>IF(COUNTA(A93:H93,O93)=0,"",IF(OR(A93="",COUNTIFS($A$5:$A$204,A93)&lt;&gt;1),"SKU ausente ou duplicado",IF(OR(B93="",D93=""),"Produto ou unidade ausente",IF(OR(NOT(ISNUMBER(F93)),F93&lt;0,NOT(ISNUMBER(G93)),G93&lt;0),"Mínimo ou custo inválido",IF(AND(H93&lt;&gt;"Ativo",H93&lt;&gt;"Inativo"),"Status de produto inválido","")))))</x:f>
      </x:c>
      <x:c r="Q93" s="163" t="str">
        <x:f>IF(A93="","",IF(OR(P93&lt;&gt;"",COUNTIFS(Lotes!$B$5:$B$204,A93,Lotes!$U$5:$U$204,1)&gt;0,Listas!$B$13&lt;&gt;"OK"),"n.a.",SUMIFS(Lotes!$V$5:$V$204,Lotes!$B$5:$B$204,A93)))</x:f>
      </x:c>
      <x:c r="R93" s="163" t="n">
        <x:f>IF(P93="",0,1)</x:f>
        <x:v>0</x:v>
      </x:c>
      <x:c r="S93" s="163" t="n">
        <x:f>IF(COUNTA(A93:H93,O93)=0,0,IF(OR(Listas!$B$19="Todos",A93=Listas!$B$19,A93=""),1,0))</x:f>
        <x:v>0</x:v>
      </x:c>
      <x:c r="T93" s="163" t="n">
        <x:f>IF(S93=1,COUNTIFS($S$5:S93,1),0)</x:f>
        <x:v>0</x:v>
      </x:c>
      <x:c r="U93" s="1"/>
      <x:c r="V93" s="1"/>
      <x:c r="W93" s="1"/>
    </x:row>
    <x:row r="94" ht="32" customHeight="1">
      <x:c r="A94" s="170"/>
      <x:c r="B94" s="170"/>
      <x:c r="C94" s="170"/>
      <x:c r="D94" s="170"/>
      <x:c r="E94" s="170"/>
      <x:c r="F94" s="171"/>
      <x:c r="G94" s="172"/>
      <x:c r="H94" s="170"/>
      <x:c r="I94" s="173" t="str">
        <x:f>IF(A94="","",IF(OR(P94&lt;&gt;"",COUNTIFS(Lotes!$B$5:$B$204,A94,Lotes!$U$5:$U$204,1)&gt;0,Listas!$B$13&lt;&gt;"OK"),"n.a.",SUMIFS(Lotes!$J$5:$J$204,Lotes!$B$5:$B$204,A94)))</x:f>
      </x:c>
      <x:c r="J94" s="174" t="str">
        <x:f>IF(A94="","",IF(OR(P94&lt;&gt;"",COUNTIFS(Lotes!$B$5:$B$204,A94,Lotes!$U$5:$U$204,1)&gt;0,Listas!$B$13&lt;&gt;"OK"),"n.a.",SUMIFS(Lotes!$L$5:$L$204,Lotes!$B$5:$B$204,A94)))</x:f>
      </x:c>
      <x:c r="K94" s="173" t="str">
        <x:f>IF(A94="","",IF(OR(P94&lt;&gt;"",COUNTIFS(Lotes!$B$5:$B$204,A94,Lotes!$U$5:$U$204,1)&gt;0,Listas!$B$13&lt;&gt;"OK"),"n.a.",COUNTIFS(Lotes!$B$5:$B$204,A94,Lotes!$J$5:$J$204,"&gt;0")))</x:f>
      </x:c>
      <x:c r="L94" s="173" t="str">
        <x:f>IF(A94="","",IF(OR(P94&lt;&gt;"",COUNTIFS(Lotes!$B$5:$B$204,A94,Lotes!$U$5:$U$204,1)&gt;0,Listas!$B$13&lt;&gt;"OK"),"n.a.",COUNTIFS(Lotes!$B$5:$B$204,A94,Lotes!$J$5:$J$204,"&gt;0",Lotes!$N$5:$N$204,"VENCIDO")))</x:f>
      </x:c>
      <x:c r="M94" s="173" t="str">
        <x:f>IF(A94="","",IF(OR(P94&lt;&gt;"",COUNTIFS(Lotes!$B$5:$B$204,A94,Lotes!$U$5:$U$204,1)&gt;0,Listas!$B$13&lt;&gt;"OK"),"n.a.",COUNTIFS(Lotes!$B$5:$B$204,A94,Lotes!$J$5:$J$204,"&gt;0",Lotes!$N$5:$N$204,"CRÍTICO")+COUNTIFS(Lotes!$B$5:$B$204,A94,Lotes!$J$5:$J$204,"&gt;0",Lotes!$N$5:$N$204,"VENCE NA JANELA")))</x:f>
      </x:c>
      <x:c r="N94" s="173" t="str">
        <x:f>IF(A94="","",IF(OR(P94&lt;&gt;"",COUNTIFS(Lotes!$B$5:$B$204,A94,Lotes!$U$5:$U$204,1)&gt;0,Listas!$B$13&lt;&gt;"OK"),"REVISAR DADOS",IF(H94="Inativo","INATIVO",IF(Q94&lt;=F94,"REPOR","OK"))))</x:f>
      </x:c>
      <x:c r="O94" s="27"/>
      <x:c r="P94" s="163" t="str">
        <x:f>IF(COUNTA(A94:H94,O94)=0,"",IF(OR(A94="",COUNTIFS($A$5:$A$204,A94)&lt;&gt;1),"SKU ausente ou duplicado",IF(OR(B94="",D94=""),"Produto ou unidade ausente",IF(OR(NOT(ISNUMBER(F94)),F94&lt;0,NOT(ISNUMBER(G94)),G94&lt;0),"Mínimo ou custo inválido",IF(AND(H94&lt;&gt;"Ativo",H94&lt;&gt;"Inativo"),"Status de produto inválido","")))))</x:f>
      </x:c>
      <x:c r="Q94" s="163" t="str">
        <x:f>IF(A94="","",IF(OR(P94&lt;&gt;"",COUNTIFS(Lotes!$B$5:$B$204,A94,Lotes!$U$5:$U$204,1)&gt;0,Listas!$B$13&lt;&gt;"OK"),"n.a.",SUMIFS(Lotes!$V$5:$V$204,Lotes!$B$5:$B$204,A94)))</x:f>
      </x:c>
      <x:c r="R94" s="163" t="n">
        <x:f>IF(P94="",0,1)</x:f>
        <x:v>0</x:v>
      </x:c>
      <x:c r="S94" s="163" t="n">
        <x:f>IF(COUNTA(A94:H94,O94)=0,0,IF(OR(Listas!$B$19="Todos",A94=Listas!$B$19,A94=""),1,0))</x:f>
        <x:v>0</x:v>
      </x:c>
      <x:c r="T94" s="163" t="n">
        <x:f>IF(S94=1,COUNTIFS($S$5:S94,1),0)</x:f>
        <x:v>0</x:v>
      </x:c>
      <x:c r="U94" s="1"/>
      <x:c r="V94" s="1"/>
      <x:c r="W94" s="1"/>
    </x:row>
    <x:row r="95" ht="32" customHeight="1">
      <x:c r="A95" s="170"/>
      <x:c r="B95" s="170"/>
      <x:c r="C95" s="170"/>
      <x:c r="D95" s="170"/>
      <x:c r="E95" s="170"/>
      <x:c r="F95" s="171"/>
      <x:c r="G95" s="172"/>
      <x:c r="H95" s="170"/>
      <x:c r="I95" s="173" t="str">
        <x:f>IF(A95="","",IF(OR(P95&lt;&gt;"",COUNTIFS(Lotes!$B$5:$B$204,A95,Lotes!$U$5:$U$204,1)&gt;0,Listas!$B$13&lt;&gt;"OK"),"n.a.",SUMIFS(Lotes!$J$5:$J$204,Lotes!$B$5:$B$204,A95)))</x:f>
      </x:c>
      <x:c r="J95" s="174" t="str">
        <x:f>IF(A95="","",IF(OR(P95&lt;&gt;"",COUNTIFS(Lotes!$B$5:$B$204,A95,Lotes!$U$5:$U$204,1)&gt;0,Listas!$B$13&lt;&gt;"OK"),"n.a.",SUMIFS(Lotes!$L$5:$L$204,Lotes!$B$5:$B$204,A95)))</x:f>
      </x:c>
      <x:c r="K95" s="173" t="str">
        <x:f>IF(A95="","",IF(OR(P95&lt;&gt;"",COUNTIFS(Lotes!$B$5:$B$204,A95,Lotes!$U$5:$U$204,1)&gt;0,Listas!$B$13&lt;&gt;"OK"),"n.a.",COUNTIFS(Lotes!$B$5:$B$204,A95,Lotes!$J$5:$J$204,"&gt;0")))</x:f>
      </x:c>
      <x:c r="L95" s="173" t="str">
        <x:f>IF(A95="","",IF(OR(P95&lt;&gt;"",COUNTIFS(Lotes!$B$5:$B$204,A95,Lotes!$U$5:$U$204,1)&gt;0,Listas!$B$13&lt;&gt;"OK"),"n.a.",COUNTIFS(Lotes!$B$5:$B$204,A95,Lotes!$J$5:$J$204,"&gt;0",Lotes!$N$5:$N$204,"VENCIDO")))</x:f>
      </x:c>
      <x:c r="M95" s="173" t="str">
        <x:f>IF(A95="","",IF(OR(P95&lt;&gt;"",COUNTIFS(Lotes!$B$5:$B$204,A95,Lotes!$U$5:$U$204,1)&gt;0,Listas!$B$13&lt;&gt;"OK"),"n.a.",COUNTIFS(Lotes!$B$5:$B$204,A95,Lotes!$J$5:$J$204,"&gt;0",Lotes!$N$5:$N$204,"CRÍTICO")+COUNTIFS(Lotes!$B$5:$B$204,A95,Lotes!$J$5:$J$204,"&gt;0",Lotes!$N$5:$N$204,"VENCE NA JANELA")))</x:f>
      </x:c>
      <x:c r="N95" s="173" t="str">
        <x:f>IF(A95="","",IF(OR(P95&lt;&gt;"",COUNTIFS(Lotes!$B$5:$B$204,A95,Lotes!$U$5:$U$204,1)&gt;0,Listas!$B$13&lt;&gt;"OK"),"REVISAR DADOS",IF(H95="Inativo","INATIVO",IF(Q95&lt;=F95,"REPOR","OK"))))</x:f>
      </x:c>
      <x:c r="O95" s="27"/>
      <x:c r="P95" s="163" t="str">
        <x:f>IF(COUNTA(A95:H95,O95)=0,"",IF(OR(A95="",COUNTIFS($A$5:$A$204,A95)&lt;&gt;1),"SKU ausente ou duplicado",IF(OR(B95="",D95=""),"Produto ou unidade ausente",IF(OR(NOT(ISNUMBER(F95)),F95&lt;0,NOT(ISNUMBER(G95)),G95&lt;0),"Mínimo ou custo inválido",IF(AND(H95&lt;&gt;"Ativo",H95&lt;&gt;"Inativo"),"Status de produto inválido","")))))</x:f>
      </x:c>
      <x:c r="Q95" s="163" t="str">
        <x:f>IF(A95="","",IF(OR(P95&lt;&gt;"",COUNTIFS(Lotes!$B$5:$B$204,A95,Lotes!$U$5:$U$204,1)&gt;0,Listas!$B$13&lt;&gt;"OK"),"n.a.",SUMIFS(Lotes!$V$5:$V$204,Lotes!$B$5:$B$204,A95)))</x:f>
      </x:c>
      <x:c r="R95" s="163" t="n">
        <x:f>IF(P95="",0,1)</x:f>
        <x:v>0</x:v>
      </x:c>
      <x:c r="S95" s="163" t="n">
        <x:f>IF(COUNTA(A95:H95,O95)=0,0,IF(OR(Listas!$B$19="Todos",A95=Listas!$B$19,A95=""),1,0))</x:f>
        <x:v>0</x:v>
      </x:c>
      <x:c r="T95" s="163" t="n">
        <x:f>IF(S95=1,COUNTIFS($S$5:S95,1),0)</x:f>
        <x:v>0</x:v>
      </x:c>
      <x:c r="U95" s="1"/>
      <x:c r="V95" s="1"/>
      <x:c r="W95" s="1"/>
    </x:row>
    <x:row r="96" ht="32" customHeight="1">
      <x:c r="A96" s="170"/>
      <x:c r="B96" s="170"/>
      <x:c r="C96" s="170"/>
      <x:c r="D96" s="170"/>
      <x:c r="E96" s="170"/>
      <x:c r="F96" s="171"/>
      <x:c r="G96" s="172"/>
      <x:c r="H96" s="170"/>
      <x:c r="I96" s="173" t="str">
        <x:f>IF(A96="","",IF(OR(P96&lt;&gt;"",COUNTIFS(Lotes!$B$5:$B$204,A96,Lotes!$U$5:$U$204,1)&gt;0,Listas!$B$13&lt;&gt;"OK"),"n.a.",SUMIFS(Lotes!$J$5:$J$204,Lotes!$B$5:$B$204,A96)))</x:f>
      </x:c>
      <x:c r="J96" s="174" t="str">
        <x:f>IF(A96="","",IF(OR(P96&lt;&gt;"",COUNTIFS(Lotes!$B$5:$B$204,A96,Lotes!$U$5:$U$204,1)&gt;0,Listas!$B$13&lt;&gt;"OK"),"n.a.",SUMIFS(Lotes!$L$5:$L$204,Lotes!$B$5:$B$204,A96)))</x:f>
      </x:c>
      <x:c r="K96" s="173" t="str">
        <x:f>IF(A96="","",IF(OR(P96&lt;&gt;"",COUNTIFS(Lotes!$B$5:$B$204,A96,Lotes!$U$5:$U$204,1)&gt;0,Listas!$B$13&lt;&gt;"OK"),"n.a.",COUNTIFS(Lotes!$B$5:$B$204,A96,Lotes!$J$5:$J$204,"&gt;0")))</x:f>
      </x:c>
      <x:c r="L96" s="173" t="str">
        <x:f>IF(A96="","",IF(OR(P96&lt;&gt;"",COUNTIFS(Lotes!$B$5:$B$204,A96,Lotes!$U$5:$U$204,1)&gt;0,Listas!$B$13&lt;&gt;"OK"),"n.a.",COUNTIFS(Lotes!$B$5:$B$204,A96,Lotes!$J$5:$J$204,"&gt;0",Lotes!$N$5:$N$204,"VENCIDO")))</x:f>
      </x:c>
      <x:c r="M96" s="173" t="str">
        <x:f>IF(A96="","",IF(OR(P96&lt;&gt;"",COUNTIFS(Lotes!$B$5:$B$204,A96,Lotes!$U$5:$U$204,1)&gt;0,Listas!$B$13&lt;&gt;"OK"),"n.a.",COUNTIFS(Lotes!$B$5:$B$204,A96,Lotes!$J$5:$J$204,"&gt;0",Lotes!$N$5:$N$204,"CRÍTICO")+COUNTIFS(Lotes!$B$5:$B$204,A96,Lotes!$J$5:$J$204,"&gt;0",Lotes!$N$5:$N$204,"VENCE NA JANELA")))</x:f>
      </x:c>
      <x:c r="N96" s="173" t="str">
        <x:f>IF(A96="","",IF(OR(P96&lt;&gt;"",COUNTIFS(Lotes!$B$5:$B$204,A96,Lotes!$U$5:$U$204,1)&gt;0,Listas!$B$13&lt;&gt;"OK"),"REVISAR DADOS",IF(H96="Inativo","INATIVO",IF(Q96&lt;=F96,"REPOR","OK"))))</x:f>
      </x:c>
      <x:c r="O96" s="27"/>
      <x:c r="P96" s="163" t="str">
        <x:f>IF(COUNTA(A96:H96,O96)=0,"",IF(OR(A96="",COUNTIFS($A$5:$A$204,A96)&lt;&gt;1),"SKU ausente ou duplicado",IF(OR(B96="",D96=""),"Produto ou unidade ausente",IF(OR(NOT(ISNUMBER(F96)),F96&lt;0,NOT(ISNUMBER(G96)),G96&lt;0),"Mínimo ou custo inválido",IF(AND(H96&lt;&gt;"Ativo",H96&lt;&gt;"Inativo"),"Status de produto inválido","")))))</x:f>
      </x:c>
      <x:c r="Q96" s="163" t="str">
        <x:f>IF(A96="","",IF(OR(P96&lt;&gt;"",COUNTIFS(Lotes!$B$5:$B$204,A96,Lotes!$U$5:$U$204,1)&gt;0,Listas!$B$13&lt;&gt;"OK"),"n.a.",SUMIFS(Lotes!$V$5:$V$204,Lotes!$B$5:$B$204,A96)))</x:f>
      </x:c>
      <x:c r="R96" s="163" t="n">
        <x:f>IF(P96="",0,1)</x:f>
        <x:v>0</x:v>
      </x:c>
      <x:c r="S96" s="163" t="n">
        <x:f>IF(COUNTA(A96:H96,O96)=0,0,IF(OR(Listas!$B$19="Todos",A96=Listas!$B$19,A96=""),1,0))</x:f>
        <x:v>0</x:v>
      </x:c>
      <x:c r="T96" s="163" t="n">
        <x:f>IF(S96=1,COUNTIFS($S$5:S96,1),0)</x:f>
        <x:v>0</x:v>
      </x:c>
      <x:c r="U96" s="1"/>
      <x:c r="V96" s="1"/>
      <x:c r="W96" s="1"/>
    </x:row>
    <x:row r="97" ht="32" customHeight="1">
      <x:c r="A97" s="170"/>
      <x:c r="B97" s="170"/>
      <x:c r="C97" s="170"/>
      <x:c r="D97" s="170"/>
      <x:c r="E97" s="170"/>
      <x:c r="F97" s="171"/>
      <x:c r="G97" s="172"/>
      <x:c r="H97" s="170"/>
      <x:c r="I97" s="173" t="str">
        <x:f>IF(A97="","",IF(OR(P97&lt;&gt;"",COUNTIFS(Lotes!$B$5:$B$204,A97,Lotes!$U$5:$U$204,1)&gt;0,Listas!$B$13&lt;&gt;"OK"),"n.a.",SUMIFS(Lotes!$J$5:$J$204,Lotes!$B$5:$B$204,A97)))</x:f>
      </x:c>
      <x:c r="J97" s="174" t="str">
        <x:f>IF(A97="","",IF(OR(P97&lt;&gt;"",COUNTIFS(Lotes!$B$5:$B$204,A97,Lotes!$U$5:$U$204,1)&gt;0,Listas!$B$13&lt;&gt;"OK"),"n.a.",SUMIFS(Lotes!$L$5:$L$204,Lotes!$B$5:$B$204,A97)))</x:f>
      </x:c>
      <x:c r="K97" s="173" t="str">
        <x:f>IF(A97="","",IF(OR(P97&lt;&gt;"",COUNTIFS(Lotes!$B$5:$B$204,A97,Lotes!$U$5:$U$204,1)&gt;0,Listas!$B$13&lt;&gt;"OK"),"n.a.",COUNTIFS(Lotes!$B$5:$B$204,A97,Lotes!$J$5:$J$204,"&gt;0")))</x:f>
      </x:c>
      <x:c r="L97" s="173" t="str">
        <x:f>IF(A97="","",IF(OR(P97&lt;&gt;"",COUNTIFS(Lotes!$B$5:$B$204,A97,Lotes!$U$5:$U$204,1)&gt;0,Listas!$B$13&lt;&gt;"OK"),"n.a.",COUNTIFS(Lotes!$B$5:$B$204,A97,Lotes!$J$5:$J$204,"&gt;0",Lotes!$N$5:$N$204,"VENCIDO")))</x:f>
      </x:c>
      <x:c r="M97" s="173" t="str">
        <x:f>IF(A97="","",IF(OR(P97&lt;&gt;"",COUNTIFS(Lotes!$B$5:$B$204,A97,Lotes!$U$5:$U$204,1)&gt;0,Listas!$B$13&lt;&gt;"OK"),"n.a.",COUNTIFS(Lotes!$B$5:$B$204,A97,Lotes!$J$5:$J$204,"&gt;0",Lotes!$N$5:$N$204,"CRÍTICO")+COUNTIFS(Lotes!$B$5:$B$204,A97,Lotes!$J$5:$J$204,"&gt;0",Lotes!$N$5:$N$204,"VENCE NA JANELA")))</x:f>
      </x:c>
      <x:c r="N97" s="173" t="str">
        <x:f>IF(A97="","",IF(OR(P97&lt;&gt;"",COUNTIFS(Lotes!$B$5:$B$204,A97,Lotes!$U$5:$U$204,1)&gt;0,Listas!$B$13&lt;&gt;"OK"),"REVISAR DADOS",IF(H97="Inativo","INATIVO",IF(Q97&lt;=F97,"REPOR","OK"))))</x:f>
      </x:c>
      <x:c r="O97" s="27"/>
      <x:c r="P97" s="163" t="str">
        <x:f>IF(COUNTA(A97:H97,O97)=0,"",IF(OR(A97="",COUNTIFS($A$5:$A$204,A97)&lt;&gt;1),"SKU ausente ou duplicado",IF(OR(B97="",D97=""),"Produto ou unidade ausente",IF(OR(NOT(ISNUMBER(F97)),F97&lt;0,NOT(ISNUMBER(G97)),G97&lt;0),"Mínimo ou custo inválido",IF(AND(H97&lt;&gt;"Ativo",H97&lt;&gt;"Inativo"),"Status de produto inválido","")))))</x:f>
      </x:c>
      <x:c r="Q97" s="163" t="str">
        <x:f>IF(A97="","",IF(OR(P97&lt;&gt;"",COUNTIFS(Lotes!$B$5:$B$204,A97,Lotes!$U$5:$U$204,1)&gt;0,Listas!$B$13&lt;&gt;"OK"),"n.a.",SUMIFS(Lotes!$V$5:$V$204,Lotes!$B$5:$B$204,A97)))</x:f>
      </x:c>
      <x:c r="R97" s="163" t="n">
        <x:f>IF(P97="",0,1)</x:f>
        <x:v>0</x:v>
      </x:c>
      <x:c r="S97" s="163" t="n">
        <x:f>IF(COUNTA(A97:H97,O97)=0,0,IF(OR(Listas!$B$19="Todos",A97=Listas!$B$19,A97=""),1,0))</x:f>
        <x:v>0</x:v>
      </x:c>
      <x:c r="T97" s="163" t="n">
        <x:f>IF(S97=1,COUNTIFS($S$5:S97,1),0)</x:f>
        <x:v>0</x:v>
      </x:c>
      <x:c r="U97" s="1"/>
      <x:c r="V97" s="1"/>
      <x:c r="W97" s="1"/>
    </x:row>
    <x:row r="98" ht="32" customHeight="1">
      <x:c r="A98" s="170"/>
      <x:c r="B98" s="170"/>
      <x:c r="C98" s="170"/>
      <x:c r="D98" s="170"/>
      <x:c r="E98" s="170"/>
      <x:c r="F98" s="171"/>
      <x:c r="G98" s="172"/>
      <x:c r="H98" s="170"/>
      <x:c r="I98" s="173" t="str">
        <x:f>IF(A98="","",IF(OR(P98&lt;&gt;"",COUNTIFS(Lotes!$B$5:$B$204,A98,Lotes!$U$5:$U$204,1)&gt;0,Listas!$B$13&lt;&gt;"OK"),"n.a.",SUMIFS(Lotes!$J$5:$J$204,Lotes!$B$5:$B$204,A98)))</x:f>
      </x:c>
      <x:c r="J98" s="174" t="str">
        <x:f>IF(A98="","",IF(OR(P98&lt;&gt;"",COUNTIFS(Lotes!$B$5:$B$204,A98,Lotes!$U$5:$U$204,1)&gt;0,Listas!$B$13&lt;&gt;"OK"),"n.a.",SUMIFS(Lotes!$L$5:$L$204,Lotes!$B$5:$B$204,A98)))</x:f>
      </x:c>
      <x:c r="K98" s="173" t="str">
        <x:f>IF(A98="","",IF(OR(P98&lt;&gt;"",COUNTIFS(Lotes!$B$5:$B$204,A98,Lotes!$U$5:$U$204,1)&gt;0,Listas!$B$13&lt;&gt;"OK"),"n.a.",COUNTIFS(Lotes!$B$5:$B$204,A98,Lotes!$J$5:$J$204,"&gt;0")))</x:f>
      </x:c>
      <x:c r="L98" s="173" t="str">
        <x:f>IF(A98="","",IF(OR(P98&lt;&gt;"",COUNTIFS(Lotes!$B$5:$B$204,A98,Lotes!$U$5:$U$204,1)&gt;0,Listas!$B$13&lt;&gt;"OK"),"n.a.",COUNTIFS(Lotes!$B$5:$B$204,A98,Lotes!$J$5:$J$204,"&gt;0",Lotes!$N$5:$N$204,"VENCIDO")))</x:f>
      </x:c>
      <x:c r="M98" s="173" t="str">
        <x:f>IF(A98="","",IF(OR(P98&lt;&gt;"",COUNTIFS(Lotes!$B$5:$B$204,A98,Lotes!$U$5:$U$204,1)&gt;0,Listas!$B$13&lt;&gt;"OK"),"n.a.",COUNTIFS(Lotes!$B$5:$B$204,A98,Lotes!$J$5:$J$204,"&gt;0",Lotes!$N$5:$N$204,"CRÍTICO")+COUNTIFS(Lotes!$B$5:$B$204,A98,Lotes!$J$5:$J$204,"&gt;0",Lotes!$N$5:$N$204,"VENCE NA JANELA")))</x:f>
      </x:c>
      <x:c r="N98" s="173" t="str">
        <x:f>IF(A98="","",IF(OR(P98&lt;&gt;"",COUNTIFS(Lotes!$B$5:$B$204,A98,Lotes!$U$5:$U$204,1)&gt;0,Listas!$B$13&lt;&gt;"OK"),"REVISAR DADOS",IF(H98="Inativo","INATIVO",IF(Q98&lt;=F98,"REPOR","OK"))))</x:f>
      </x:c>
      <x:c r="O98" s="27"/>
      <x:c r="P98" s="163" t="str">
        <x:f>IF(COUNTA(A98:H98,O98)=0,"",IF(OR(A98="",COUNTIFS($A$5:$A$204,A98)&lt;&gt;1),"SKU ausente ou duplicado",IF(OR(B98="",D98=""),"Produto ou unidade ausente",IF(OR(NOT(ISNUMBER(F98)),F98&lt;0,NOT(ISNUMBER(G98)),G98&lt;0),"Mínimo ou custo inválido",IF(AND(H98&lt;&gt;"Ativo",H98&lt;&gt;"Inativo"),"Status de produto inválido","")))))</x:f>
      </x:c>
      <x:c r="Q98" s="163" t="str">
        <x:f>IF(A98="","",IF(OR(P98&lt;&gt;"",COUNTIFS(Lotes!$B$5:$B$204,A98,Lotes!$U$5:$U$204,1)&gt;0,Listas!$B$13&lt;&gt;"OK"),"n.a.",SUMIFS(Lotes!$V$5:$V$204,Lotes!$B$5:$B$204,A98)))</x:f>
      </x:c>
      <x:c r="R98" s="163" t="n">
        <x:f>IF(P98="",0,1)</x:f>
        <x:v>0</x:v>
      </x:c>
      <x:c r="S98" s="163" t="n">
        <x:f>IF(COUNTA(A98:H98,O98)=0,0,IF(OR(Listas!$B$19="Todos",A98=Listas!$B$19,A98=""),1,0))</x:f>
        <x:v>0</x:v>
      </x:c>
      <x:c r="T98" s="163" t="n">
        <x:f>IF(S98=1,COUNTIFS($S$5:S98,1),0)</x:f>
        <x:v>0</x:v>
      </x:c>
      <x:c r="U98" s="1"/>
      <x:c r="V98" s="1"/>
      <x:c r="W98" s="1"/>
    </x:row>
    <x:row r="99" ht="32" customHeight="1">
      <x:c r="A99" s="170"/>
      <x:c r="B99" s="170"/>
      <x:c r="C99" s="170"/>
      <x:c r="D99" s="170"/>
      <x:c r="E99" s="170"/>
      <x:c r="F99" s="171"/>
      <x:c r="G99" s="172"/>
      <x:c r="H99" s="170"/>
      <x:c r="I99" s="173" t="str">
        <x:f>IF(A99="","",IF(OR(P99&lt;&gt;"",COUNTIFS(Lotes!$B$5:$B$204,A99,Lotes!$U$5:$U$204,1)&gt;0,Listas!$B$13&lt;&gt;"OK"),"n.a.",SUMIFS(Lotes!$J$5:$J$204,Lotes!$B$5:$B$204,A99)))</x:f>
      </x:c>
      <x:c r="J99" s="174" t="str">
        <x:f>IF(A99="","",IF(OR(P99&lt;&gt;"",COUNTIFS(Lotes!$B$5:$B$204,A99,Lotes!$U$5:$U$204,1)&gt;0,Listas!$B$13&lt;&gt;"OK"),"n.a.",SUMIFS(Lotes!$L$5:$L$204,Lotes!$B$5:$B$204,A99)))</x:f>
      </x:c>
      <x:c r="K99" s="173" t="str">
        <x:f>IF(A99="","",IF(OR(P99&lt;&gt;"",COUNTIFS(Lotes!$B$5:$B$204,A99,Lotes!$U$5:$U$204,1)&gt;0,Listas!$B$13&lt;&gt;"OK"),"n.a.",COUNTIFS(Lotes!$B$5:$B$204,A99,Lotes!$J$5:$J$204,"&gt;0")))</x:f>
      </x:c>
      <x:c r="L99" s="173" t="str">
        <x:f>IF(A99="","",IF(OR(P99&lt;&gt;"",COUNTIFS(Lotes!$B$5:$B$204,A99,Lotes!$U$5:$U$204,1)&gt;0,Listas!$B$13&lt;&gt;"OK"),"n.a.",COUNTIFS(Lotes!$B$5:$B$204,A99,Lotes!$J$5:$J$204,"&gt;0",Lotes!$N$5:$N$204,"VENCIDO")))</x:f>
      </x:c>
      <x:c r="M99" s="173" t="str">
        <x:f>IF(A99="","",IF(OR(P99&lt;&gt;"",COUNTIFS(Lotes!$B$5:$B$204,A99,Lotes!$U$5:$U$204,1)&gt;0,Listas!$B$13&lt;&gt;"OK"),"n.a.",COUNTIFS(Lotes!$B$5:$B$204,A99,Lotes!$J$5:$J$204,"&gt;0",Lotes!$N$5:$N$204,"CRÍTICO")+COUNTIFS(Lotes!$B$5:$B$204,A99,Lotes!$J$5:$J$204,"&gt;0",Lotes!$N$5:$N$204,"VENCE NA JANELA")))</x:f>
      </x:c>
      <x:c r="N99" s="173" t="str">
        <x:f>IF(A99="","",IF(OR(P99&lt;&gt;"",COUNTIFS(Lotes!$B$5:$B$204,A99,Lotes!$U$5:$U$204,1)&gt;0,Listas!$B$13&lt;&gt;"OK"),"REVISAR DADOS",IF(H99="Inativo","INATIVO",IF(Q99&lt;=F99,"REPOR","OK"))))</x:f>
      </x:c>
      <x:c r="O99" s="27"/>
      <x:c r="P99" s="163" t="str">
        <x:f>IF(COUNTA(A99:H99,O99)=0,"",IF(OR(A99="",COUNTIFS($A$5:$A$204,A99)&lt;&gt;1),"SKU ausente ou duplicado",IF(OR(B99="",D99=""),"Produto ou unidade ausente",IF(OR(NOT(ISNUMBER(F99)),F99&lt;0,NOT(ISNUMBER(G99)),G99&lt;0),"Mínimo ou custo inválido",IF(AND(H99&lt;&gt;"Ativo",H99&lt;&gt;"Inativo"),"Status de produto inválido","")))))</x:f>
      </x:c>
      <x:c r="Q99" s="163" t="str">
        <x:f>IF(A99="","",IF(OR(P99&lt;&gt;"",COUNTIFS(Lotes!$B$5:$B$204,A99,Lotes!$U$5:$U$204,1)&gt;0,Listas!$B$13&lt;&gt;"OK"),"n.a.",SUMIFS(Lotes!$V$5:$V$204,Lotes!$B$5:$B$204,A99)))</x:f>
      </x:c>
      <x:c r="R99" s="163" t="n">
        <x:f>IF(P99="",0,1)</x:f>
        <x:v>0</x:v>
      </x:c>
      <x:c r="S99" s="163" t="n">
        <x:f>IF(COUNTA(A99:H99,O99)=0,0,IF(OR(Listas!$B$19="Todos",A99=Listas!$B$19,A99=""),1,0))</x:f>
        <x:v>0</x:v>
      </x:c>
      <x:c r="T99" s="163" t="n">
        <x:f>IF(S99=1,COUNTIFS($S$5:S99,1),0)</x:f>
        <x:v>0</x:v>
      </x:c>
      <x:c r="U99" s="1"/>
      <x:c r="V99" s="1"/>
      <x:c r="W99" s="1"/>
    </x:row>
    <x:row r="100" ht="32" customHeight="1">
      <x:c r="A100" s="170"/>
      <x:c r="B100" s="170"/>
      <x:c r="C100" s="170"/>
      <x:c r="D100" s="170"/>
      <x:c r="E100" s="170"/>
      <x:c r="F100" s="171"/>
      <x:c r="G100" s="172"/>
      <x:c r="H100" s="170"/>
      <x:c r="I100" s="173" t="str">
        <x:f>IF(A100="","",IF(OR(P100&lt;&gt;"",COUNTIFS(Lotes!$B$5:$B$204,A100,Lotes!$U$5:$U$204,1)&gt;0,Listas!$B$13&lt;&gt;"OK"),"n.a.",SUMIFS(Lotes!$J$5:$J$204,Lotes!$B$5:$B$204,A100)))</x:f>
      </x:c>
      <x:c r="J100" s="174" t="str">
        <x:f>IF(A100="","",IF(OR(P100&lt;&gt;"",COUNTIFS(Lotes!$B$5:$B$204,A100,Lotes!$U$5:$U$204,1)&gt;0,Listas!$B$13&lt;&gt;"OK"),"n.a.",SUMIFS(Lotes!$L$5:$L$204,Lotes!$B$5:$B$204,A100)))</x:f>
      </x:c>
      <x:c r="K100" s="173" t="str">
        <x:f>IF(A100="","",IF(OR(P100&lt;&gt;"",COUNTIFS(Lotes!$B$5:$B$204,A100,Lotes!$U$5:$U$204,1)&gt;0,Listas!$B$13&lt;&gt;"OK"),"n.a.",COUNTIFS(Lotes!$B$5:$B$204,A100,Lotes!$J$5:$J$204,"&gt;0")))</x:f>
      </x:c>
      <x:c r="L100" s="173" t="str">
        <x:f>IF(A100="","",IF(OR(P100&lt;&gt;"",COUNTIFS(Lotes!$B$5:$B$204,A100,Lotes!$U$5:$U$204,1)&gt;0,Listas!$B$13&lt;&gt;"OK"),"n.a.",COUNTIFS(Lotes!$B$5:$B$204,A100,Lotes!$J$5:$J$204,"&gt;0",Lotes!$N$5:$N$204,"VENCIDO")))</x:f>
      </x:c>
      <x:c r="M100" s="173" t="str">
        <x:f>IF(A100="","",IF(OR(P100&lt;&gt;"",COUNTIFS(Lotes!$B$5:$B$204,A100,Lotes!$U$5:$U$204,1)&gt;0,Listas!$B$13&lt;&gt;"OK"),"n.a.",COUNTIFS(Lotes!$B$5:$B$204,A100,Lotes!$J$5:$J$204,"&gt;0",Lotes!$N$5:$N$204,"CRÍTICO")+COUNTIFS(Lotes!$B$5:$B$204,A100,Lotes!$J$5:$J$204,"&gt;0",Lotes!$N$5:$N$204,"VENCE NA JANELA")))</x:f>
      </x:c>
      <x:c r="N100" s="173" t="str">
        <x:f>IF(A100="","",IF(OR(P100&lt;&gt;"",COUNTIFS(Lotes!$B$5:$B$204,A100,Lotes!$U$5:$U$204,1)&gt;0,Listas!$B$13&lt;&gt;"OK"),"REVISAR DADOS",IF(H100="Inativo","INATIVO",IF(Q100&lt;=F100,"REPOR","OK"))))</x:f>
      </x:c>
      <x:c r="O100" s="27"/>
      <x:c r="P100" s="163" t="str">
        <x:f>IF(COUNTA(A100:H100,O100)=0,"",IF(OR(A100="",COUNTIFS($A$5:$A$204,A100)&lt;&gt;1),"SKU ausente ou duplicado",IF(OR(B100="",D100=""),"Produto ou unidade ausente",IF(OR(NOT(ISNUMBER(F100)),F100&lt;0,NOT(ISNUMBER(G100)),G100&lt;0),"Mínimo ou custo inválido",IF(AND(H100&lt;&gt;"Ativo",H100&lt;&gt;"Inativo"),"Status de produto inválido","")))))</x:f>
      </x:c>
      <x:c r="Q100" s="163" t="str">
        <x:f>IF(A100="","",IF(OR(P100&lt;&gt;"",COUNTIFS(Lotes!$B$5:$B$204,A100,Lotes!$U$5:$U$204,1)&gt;0,Listas!$B$13&lt;&gt;"OK"),"n.a.",SUMIFS(Lotes!$V$5:$V$204,Lotes!$B$5:$B$204,A100)))</x:f>
      </x:c>
      <x:c r="R100" s="163" t="n">
        <x:f>IF(P100="",0,1)</x:f>
        <x:v>0</x:v>
      </x:c>
      <x:c r="S100" s="163" t="n">
        <x:f>IF(COUNTA(A100:H100,O100)=0,0,IF(OR(Listas!$B$19="Todos",A100=Listas!$B$19,A100=""),1,0))</x:f>
        <x:v>0</x:v>
      </x:c>
      <x:c r="T100" s="163" t="n">
        <x:f>IF(S100=1,COUNTIFS($S$5:S100,1),0)</x:f>
        <x:v>0</x:v>
      </x:c>
      <x:c r="U100" s="1"/>
      <x:c r="V100" s="1"/>
      <x:c r="W100" s="1"/>
    </x:row>
    <x:row r="101" ht="32" customHeight="1">
      <x:c r="A101" s="170"/>
      <x:c r="B101" s="170"/>
      <x:c r="C101" s="170"/>
      <x:c r="D101" s="170"/>
      <x:c r="E101" s="170"/>
      <x:c r="F101" s="171"/>
      <x:c r="G101" s="172"/>
      <x:c r="H101" s="170"/>
      <x:c r="I101" s="173" t="str">
        <x:f>IF(A101="","",IF(OR(P101&lt;&gt;"",COUNTIFS(Lotes!$B$5:$B$204,A101,Lotes!$U$5:$U$204,1)&gt;0,Listas!$B$13&lt;&gt;"OK"),"n.a.",SUMIFS(Lotes!$J$5:$J$204,Lotes!$B$5:$B$204,A101)))</x:f>
      </x:c>
      <x:c r="J101" s="174" t="str">
        <x:f>IF(A101="","",IF(OR(P101&lt;&gt;"",COUNTIFS(Lotes!$B$5:$B$204,A101,Lotes!$U$5:$U$204,1)&gt;0,Listas!$B$13&lt;&gt;"OK"),"n.a.",SUMIFS(Lotes!$L$5:$L$204,Lotes!$B$5:$B$204,A101)))</x:f>
      </x:c>
      <x:c r="K101" s="173" t="str">
        <x:f>IF(A101="","",IF(OR(P101&lt;&gt;"",COUNTIFS(Lotes!$B$5:$B$204,A101,Lotes!$U$5:$U$204,1)&gt;0,Listas!$B$13&lt;&gt;"OK"),"n.a.",COUNTIFS(Lotes!$B$5:$B$204,A101,Lotes!$J$5:$J$204,"&gt;0")))</x:f>
      </x:c>
      <x:c r="L101" s="173" t="str">
        <x:f>IF(A101="","",IF(OR(P101&lt;&gt;"",COUNTIFS(Lotes!$B$5:$B$204,A101,Lotes!$U$5:$U$204,1)&gt;0,Listas!$B$13&lt;&gt;"OK"),"n.a.",COUNTIFS(Lotes!$B$5:$B$204,A101,Lotes!$J$5:$J$204,"&gt;0",Lotes!$N$5:$N$204,"VENCIDO")))</x:f>
      </x:c>
      <x:c r="M101" s="173" t="str">
        <x:f>IF(A101="","",IF(OR(P101&lt;&gt;"",COUNTIFS(Lotes!$B$5:$B$204,A101,Lotes!$U$5:$U$204,1)&gt;0,Listas!$B$13&lt;&gt;"OK"),"n.a.",COUNTIFS(Lotes!$B$5:$B$204,A101,Lotes!$J$5:$J$204,"&gt;0",Lotes!$N$5:$N$204,"CRÍTICO")+COUNTIFS(Lotes!$B$5:$B$204,A101,Lotes!$J$5:$J$204,"&gt;0",Lotes!$N$5:$N$204,"VENCE NA JANELA")))</x:f>
      </x:c>
      <x:c r="N101" s="173" t="str">
        <x:f>IF(A101="","",IF(OR(P101&lt;&gt;"",COUNTIFS(Lotes!$B$5:$B$204,A101,Lotes!$U$5:$U$204,1)&gt;0,Listas!$B$13&lt;&gt;"OK"),"REVISAR DADOS",IF(H101="Inativo","INATIVO",IF(Q101&lt;=F101,"REPOR","OK"))))</x:f>
      </x:c>
      <x:c r="O101" s="27"/>
      <x:c r="P101" s="163" t="str">
        <x:f>IF(COUNTA(A101:H101,O101)=0,"",IF(OR(A101="",COUNTIFS($A$5:$A$204,A101)&lt;&gt;1),"SKU ausente ou duplicado",IF(OR(B101="",D101=""),"Produto ou unidade ausente",IF(OR(NOT(ISNUMBER(F101)),F101&lt;0,NOT(ISNUMBER(G101)),G101&lt;0),"Mínimo ou custo inválido",IF(AND(H101&lt;&gt;"Ativo",H101&lt;&gt;"Inativo"),"Status de produto inválido","")))))</x:f>
      </x:c>
      <x:c r="Q101" s="163" t="str">
        <x:f>IF(A101="","",IF(OR(P101&lt;&gt;"",COUNTIFS(Lotes!$B$5:$B$204,A101,Lotes!$U$5:$U$204,1)&gt;0,Listas!$B$13&lt;&gt;"OK"),"n.a.",SUMIFS(Lotes!$V$5:$V$204,Lotes!$B$5:$B$204,A101)))</x:f>
      </x:c>
      <x:c r="R101" s="163" t="n">
        <x:f>IF(P101="",0,1)</x:f>
        <x:v>0</x:v>
      </x:c>
      <x:c r="S101" s="163" t="n">
        <x:f>IF(COUNTA(A101:H101,O101)=0,0,IF(OR(Listas!$B$19="Todos",A101=Listas!$B$19,A101=""),1,0))</x:f>
        <x:v>0</x:v>
      </x:c>
      <x:c r="T101" s="163" t="n">
        <x:f>IF(S101=1,COUNTIFS($S$5:S101,1),0)</x:f>
        <x:v>0</x:v>
      </x:c>
      <x:c r="U101" s="1"/>
      <x:c r="V101" s="1"/>
      <x:c r="W101" s="1"/>
    </x:row>
    <x:row r="102" ht="32" customHeight="1">
      <x:c r="A102" s="170"/>
      <x:c r="B102" s="170"/>
      <x:c r="C102" s="170"/>
      <x:c r="D102" s="170"/>
      <x:c r="E102" s="170"/>
      <x:c r="F102" s="171"/>
      <x:c r="G102" s="172"/>
      <x:c r="H102" s="170"/>
      <x:c r="I102" s="173" t="str">
        <x:f>IF(A102="","",IF(OR(P102&lt;&gt;"",COUNTIFS(Lotes!$B$5:$B$204,A102,Lotes!$U$5:$U$204,1)&gt;0,Listas!$B$13&lt;&gt;"OK"),"n.a.",SUMIFS(Lotes!$J$5:$J$204,Lotes!$B$5:$B$204,A102)))</x:f>
      </x:c>
      <x:c r="J102" s="174" t="str">
        <x:f>IF(A102="","",IF(OR(P102&lt;&gt;"",COUNTIFS(Lotes!$B$5:$B$204,A102,Lotes!$U$5:$U$204,1)&gt;0,Listas!$B$13&lt;&gt;"OK"),"n.a.",SUMIFS(Lotes!$L$5:$L$204,Lotes!$B$5:$B$204,A102)))</x:f>
      </x:c>
      <x:c r="K102" s="173" t="str">
        <x:f>IF(A102="","",IF(OR(P102&lt;&gt;"",COUNTIFS(Lotes!$B$5:$B$204,A102,Lotes!$U$5:$U$204,1)&gt;0,Listas!$B$13&lt;&gt;"OK"),"n.a.",COUNTIFS(Lotes!$B$5:$B$204,A102,Lotes!$J$5:$J$204,"&gt;0")))</x:f>
      </x:c>
      <x:c r="L102" s="173" t="str">
        <x:f>IF(A102="","",IF(OR(P102&lt;&gt;"",COUNTIFS(Lotes!$B$5:$B$204,A102,Lotes!$U$5:$U$204,1)&gt;0,Listas!$B$13&lt;&gt;"OK"),"n.a.",COUNTIFS(Lotes!$B$5:$B$204,A102,Lotes!$J$5:$J$204,"&gt;0",Lotes!$N$5:$N$204,"VENCIDO")))</x:f>
      </x:c>
      <x:c r="M102" s="173" t="str">
        <x:f>IF(A102="","",IF(OR(P102&lt;&gt;"",COUNTIFS(Lotes!$B$5:$B$204,A102,Lotes!$U$5:$U$204,1)&gt;0,Listas!$B$13&lt;&gt;"OK"),"n.a.",COUNTIFS(Lotes!$B$5:$B$204,A102,Lotes!$J$5:$J$204,"&gt;0",Lotes!$N$5:$N$204,"CRÍTICO")+COUNTIFS(Lotes!$B$5:$B$204,A102,Lotes!$J$5:$J$204,"&gt;0",Lotes!$N$5:$N$204,"VENCE NA JANELA")))</x:f>
      </x:c>
      <x:c r="N102" s="173" t="str">
        <x:f>IF(A102="","",IF(OR(P102&lt;&gt;"",COUNTIFS(Lotes!$B$5:$B$204,A102,Lotes!$U$5:$U$204,1)&gt;0,Listas!$B$13&lt;&gt;"OK"),"REVISAR DADOS",IF(H102="Inativo","INATIVO",IF(Q102&lt;=F102,"REPOR","OK"))))</x:f>
      </x:c>
      <x:c r="O102" s="27"/>
      <x:c r="P102" s="163" t="str">
        <x:f>IF(COUNTA(A102:H102,O102)=0,"",IF(OR(A102="",COUNTIFS($A$5:$A$204,A102)&lt;&gt;1),"SKU ausente ou duplicado",IF(OR(B102="",D102=""),"Produto ou unidade ausente",IF(OR(NOT(ISNUMBER(F102)),F102&lt;0,NOT(ISNUMBER(G102)),G102&lt;0),"Mínimo ou custo inválido",IF(AND(H102&lt;&gt;"Ativo",H102&lt;&gt;"Inativo"),"Status de produto inválido","")))))</x:f>
      </x:c>
      <x:c r="Q102" s="163" t="str">
        <x:f>IF(A102="","",IF(OR(P102&lt;&gt;"",COUNTIFS(Lotes!$B$5:$B$204,A102,Lotes!$U$5:$U$204,1)&gt;0,Listas!$B$13&lt;&gt;"OK"),"n.a.",SUMIFS(Lotes!$V$5:$V$204,Lotes!$B$5:$B$204,A102)))</x:f>
      </x:c>
      <x:c r="R102" s="163" t="n">
        <x:f>IF(P102="",0,1)</x:f>
        <x:v>0</x:v>
      </x:c>
      <x:c r="S102" s="163" t="n">
        <x:f>IF(COUNTA(A102:H102,O102)=0,0,IF(OR(Listas!$B$19="Todos",A102=Listas!$B$19,A102=""),1,0))</x:f>
        <x:v>0</x:v>
      </x:c>
      <x:c r="T102" s="163" t="n">
        <x:f>IF(S102=1,COUNTIFS($S$5:S102,1),0)</x:f>
        <x:v>0</x:v>
      </x:c>
      <x:c r="U102" s="1"/>
      <x:c r="V102" s="1"/>
      <x:c r="W102" s="1"/>
    </x:row>
    <x:row r="103" ht="32" customHeight="1">
      <x:c r="A103" s="170"/>
      <x:c r="B103" s="170"/>
      <x:c r="C103" s="170"/>
      <x:c r="D103" s="170"/>
      <x:c r="E103" s="170"/>
      <x:c r="F103" s="171"/>
      <x:c r="G103" s="172"/>
      <x:c r="H103" s="170"/>
      <x:c r="I103" s="173" t="str">
        <x:f>IF(A103="","",IF(OR(P103&lt;&gt;"",COUNTIFS(Lotes!$B$5:$B$204,A103,Lotes!$U$5:$U$204,1)&gt;0,Listas!$B$13&lt;&gt;"OK"),"n.a.",SUMIFS(Lotes!$J$5:$J$204,Lotes!$B$5:$B$204,A103)))</x:f>
      </x:c>
      <x:c r="J103" s="174" t="str">
        <x:f>IF(A103="","",IF(OR(P103&lt;&gt;"",COUNTIFS(Lotes!$B$5:$B$204,A103,Lotes!$U$5:$U$204,1)&gt;0,Listas!$B$13&lt;&gt;"OK"),"n.a.",SUMIFS(Lotes!$L$5:$L$204,Lotes!$B$5:$B$204,A103)))</x:f>
      </x:c>
      <x:c r="K103" s="173" t="str">
        <x:f>IF(A103="","",IF(OR(P103&lt;&gt;"",COUNTIFS(Lotes!$B$5:$B$204,A103,Lotes!$U$5:$U$204,1)&gt;0,Listas!$B$13&lt;&gt;"OK"),"n.a.",COUNTIFS(Lotes!$B$5:$B$204,A103,Lotes!$J$5:$J$204,"&gt;0")))</x:f>
      </x:c>
      <x:c r="L103" s="173" t="str">
        <x:f>IF(A103="","",IF(OR(P103&lt;&gt;"",COUNTIFS(Lotes!$B$5:$B$204,A103,Lotes!$U$5:$U$204,1)&gt;0,Listas!$B$13&lt;&gt;"OK"),"n.a.",COUNTIFS(Lotes!$B$5:$B$204,A103,Lotes!$J$5:$J$204,"&gt;0",Lotes!$N$5:$N$204,"VENCIDO")))</x:f>
      </x:c>
      <x:c r="M103" s="173" t="str">
        <x:f>IF(A103="","",IF(OR(P103&lt;&gt;"",COUNTIFS(Lotes!$B$5:$B$204,A103,Lotes!$U$5:$U$204,1)&gt;0,Listas!$B$13&lt;&gt;"OK"),"n.a.",COUNTIFS(Lotes!$B$5:$B$204,A103,Lotes!$J$5:$J$204,"&gt;0",Lotes!$N$5:$N$204,"CRÍTICO")+COUNTIFS(Lotes!$B$5:$B$204,A103,Lotes!$J$5:$J$204,"&gt;0",Lotes!$N$5:$N$204,"VENCE NA JANELA")))</x:f>
      </x:c>
      <x:c r="N103" s="173" t="str">
        <x:f>IF(A103="","",IF(OR(P103&lt;&gt;"",COUNTIFS(Lotes!$B$5:$B$204,A103,Lotes!$U$5:$U$204,1)&gt;0,Listas!$B$13&lt;&gt;"OK"),"REVISAR DADOS",IF(H103="Inativo","INATIVO",IF(Q103&lt;=F103,"REPOR","OK"))))</x:f>
      </x:c>
      <x:c r="O103" s="27"/>
      <x:c r="P103" s="163" t="str">
        <x:f>IF(COUNTA(A103:H103,O103)=0,"",IF(OR(A103="",COUNTIFS($A$5:$A$204,A103)&lt;&gt;1),"SKU ausente ou duplicado",IF(OR(B103="",D103=""),"Produto ou unidade ausente",IF(OR(NOT(ISNUMBER(F103)),F103&lt;0,NOT(ISNUMBER(G103)),G103&lt;0),"Mínimo ou custo inválido",IF(AND(H103&lt;&gt;"Ativo",H103&lt;&gt;"Inativo"),"Status de produto inválido","")))))</x:f>
      </x:c>
      <x:c r="Q103" s="163" t="str">
        <x:f>IF(A103="","",IF(OR(P103&lt;&gt;"",COUNTIFS(Lotes!$B$5:$B$204,A103,Lotes!$U$5:$U$204,1)&gt;0,Listas!$B$13&lt;&gt;"OK"),"n.a.",SUMIFS(Lotes!$V$5:$V$204,Lotes!$B$5:$B$204,A103)))</x:f>
      </x:c>
      <x:c r="R103" s="163" t="n">
        <x:f>IF(P103="",0,1)</x:f>
        <x:v>0</x:v>
      </x:c>
      <x:c r="S103" s="163" t="n">
        <x:f>IF(COUNTA(A103:H103,O103)=0,0,IF(OR(Listas!$B$19="Todos",A103=Listas!$B$19,A103=""),1,0))</x:f>
        <x:v>0</x:v>
      </x:c>
      <x:c r="T103" s="163" t="n">
        <x:f>IF(S103=1,COUNTIFS($S$5:S103,1),0)</x:f>
        <x:v>0</x:v>
      </x:c>
      <x:c r="U103" s="1"/>
      <x:c r="V103" s="1"/>
      <x:c r="W103" s="1"/>
    </x:row>
    <x:row r="104" ht="32" customHeight="1">
      <x:c r="A104" s="170"/>
      <x:c r="B104" s="170"/>
      <x:c r="C104" s="170"/>
      <x:c r="D104" s="170"/>
      <x:c r="E104" s="170"/>
      <x:c r="F104" s="171"/>
      <x:c r="G104" s="172"/>
      <x:c r="H104" s="170"/>
      <x:c r="I104" s="173" t="str">
        <x:f>IF(A104="","",IF(OR(P104&lt;&gt;"",COUNTIFS(Lotes!$B$5:$B$204,A104,Lotes!$U$5:$U$204,1)&gt;0,Listas!$B$13&lt;&gt;"OK"),"n.a.",SUMIFS(Lotes!$J$5:$J$204,Lotes!$B$5:$B$204,A104)))</x:f>
      </x:c>
      <x:c r="J104" s="174" t="str">
        <x:f>IF(A104="","",IF(OR(P104&lt;&gt;"",COUNTIFS(Lotes!$B$5:$B$204,A104,Lotes!$U$5:$U$204,1)&gt;0,Listas!$B$13&lt;&gt;"OK"),"n.a.",SUMIFS(Lotes!$L$5:$L$204,Lotes!$B$5:$B$204,A104)))</x:f>
      </x:c>
      <x:c r="K104" s="173" t="str">
        <x:f>IF(A104="","",IF(OR(P104&lt;&gt;"",COUNTIFS(Lotes!$B$5:$B$204,A104,Lotes!$U$5:$U$204,1)&gt;0,Listas!$B$13&lt;&gt;"OK"),"n.a.",COUNTIFS(Lotes!$B$5:$B$204,A104,Lotes!$J$5:$J$204,"&gt;0")))</x:f>
      </x:c>
      <x:c r="L104" s="173" t="str">
        <x:f>IF(A104="","",IF(OR(P104&lt;&gt;"",COUNTIFS(Lotes!$B$5:$B$204,A104,Lotes!$U$5:$U$204,1)&gt;0,Listas!$B$13&lt;&gt;"OK"),"n.a.",COUNTIFS(Lotes!$B$5:$B$204,A104,Lotes!$J$5:$J$204,"&gt;0",Lotes!$N$5:$N$204,"VENCIDO")))</x:f>
      </x:c>
      <x:c r="M104" s="173" t="str">
        <x:f>IF(A104="","",IF(OR(P104&lt;&gt;"",COUNTIFS(Lotes!$B$5:$B$204,A104,Lotes!$U$5:$U$204,1)&gt;0,Listas!$B$13&lt;&gt;"OK"),"n.a.",COUNTIFS(Lotes!$B$5:$B$204,A104,Lotes!$J$5:$J$204,"&gt;0",Lotes!$N$5:$N$204,"CRÍTICO")+COUNTIFS(Lotes!$B$5:$B$204,A104,Lotes!$J$5:$J$204,"&gt;0",Lotes!$N$5:$N$204,"VENCE NA JANELA")))</x:f>
      </x:c>
      <x:c r="N104" s="173" t="str">
        <x:f>IF(A104="","",IF(OR(P104&lt;&gt;"",COUNTIFS(Lotes!$B$5:$B$204,A104,Lotes!$U$5:$U$204,1)&gt;0,Listas!$B$13&lt;&gt;"OK"),"REVISAR DADOS",IF(H104="Inativo","INATIVO",IF(Q104&lt;=F104,"REPOR","OK"))))</x:f>
      </x:c>
      <x:c r="O104" s="27"/>
      <x:c r="P104" s="163" t="str">
        <x:f>IF(COUNTA(A104:H104,O104)=0,"",IF(OR(A104="",COUNTIFS($A$5:$A$204,A104)&lt;&gt;1),"SKU ausente ou duplicado",IF(OR(B104="",D104=""),"Produto ou unidade ausente",IF(OR(NOT(ISNUMBER(F104)),F104&lt;0,NOT(ISNUMBER(G104)),G104&lt;0),"Mínimo ou custo inválido",IF(AND(H104&lt;&gt;"Ativo",H104&lt;&gt;"Inativo"),"Status de produto inválido","")))))</x:f>
      </x:c>
      <x:c r="Q104" s="163" t="str">
        <x:f>IF(A104="","",IF(OR(P104&lt;&gt;"",COUNTIFS(Lotes!$B$5:$B$204,A104,Lotes!$U$5:$U$204,1)&gt;0,Listas!$B$13&lt;&gt;"OK"),"n.a.",SUMIFS(Lotes!$V$5:$V$204,Lotes!$B$5:$B$204,A104)))</x:f>
      </x:c>
      <x:c r="R104" s="163" t="n">
        <x:f>IF(P104="",0,1)</x:f>
        <x:v>0</x:v>
      </x:c>
      <x:c r="S104" s="163" t="n">
        <x:f>IF(COUNTA(A104:H104,O104)=0,0,IF(OR(Listas!$B$19="Todos",A104=Listas!$B$19,A104=""),1,0))</x:f>
        <x:v>0</x:v>
      </x:c>
      <x:c r="T104" s="163" t="n">
        <x:f>IF(S104=1,COUNTIFS($S$5:S104,1),0)</x:f>
        <x:v>0</x:v>
      </x:c>
      <x:c r="U104" s="1"/>
      <x:c r="V104" s="1"/>
      <x:c r="W104" s="1"/>
    </x:row>
    <x:row r="105" ht="32" customHeight="1">
      <x:c r="A105" s="170"/>
      <x:c r="B105" s="170"/>
      <x:c r="C105" s="170"/>
      <x:c r="D105" s="170"/>
      <x:c r="E105" s="170"/>
      <x:c r="F105" s="171"/>
      <x:c r="G105" s="172"/>
      <x:c r="H105" s="170"/>
      <x:c r="I105" s="173" t="str">
        <x:f>IF(A105="","",IF(OR(P105&lt;&gt;"",COUNTIFS(Lotes!$B$5:$B$204,A105,Lotes!$U$5:$U$204,1)&gt;0,Listas!$B$13&lt;&gt;"OK"),"n.a.",SUMIFS(Lotes!$J$5:$J$204,Lotes!$B$5:$B$204,A105)))</x:f>
      </x:c>
      <x:c r="J105" s="174" t="str">
        <x:f>IF(A105="","",IF(OR(P105&lt;&gt;"",COUNTIFS(Lotes!$B$5:$B$204,A105,Lotes!$U$5:$U$204,1)&gt;0,Listas!$B$13&lt;&gt;"OK"),"n.a.",SUMIFS(Lotes!$L$5:$L$204,Lotes!$B$5:$B$204,A105)))</x:f>
      </x:c>
      <x:c r="K105" s="173" t="str">
        <x:f>IF(A105="","",IF(OR(P105&lt;&gt;"",COUNTIFS(Lotes!$B$5:$B$204,A105,Lotes!$U$5:$U$204,1)&gt;0,Listas!$B$13&lt;&gt;"OK"),"n.a.",COUNTIFS(Lotes!$B$5:$B$204,A105,Lotes!$J$5:$J$204,"&gt;0")))</x:f>
      </x:c>
      <x:c r="L105" s="173" t="str">
        <x:f>IF(A105="","",IF(OR(P105&lt;&gt;"",COUNTIFS(Lotes!$B$5:$B$204,A105,Lotes!$U$5:$U$204,1)&gt;0,Listas!$B$13&lt;&gt;"OK"),"n.a.",COUNTIFS(Lotes!$B$5:$B$204,A105,Lotes!$J$5:$J$204,"&gt;0",Lotes!$N$5:$N$204,"VENCIDO")))</x:f>
      </x:c>
      <x:c r="M105" s="173" t="str">
        <x:f>IF(A105="","",IF(OR(P105&lt;&gt;"",COUNTIFS(Lotes!$B$5:$B$204,A105,Lotes!$U$5:$U$204,1)&gt;0,Listas!$B$13&lt;&gt;"OK"),"n.a.",COUNTIFS(Lotes!$B$5:$B$204,A105,Lotes!$J$5:$J$204,"&gt;0",Lotes!$N$5:$N$204,"CRÍTICO")+COUNTIFS(Lotes!$B$5:$B$204,A105,Lotes!$J$5:$J$204,"&gt;0",Lotes!$N$5:$N$204,"VENCE NA JANELA")))</x:f>
      </x:c>
      <x:c r="N105" s="173" t="str">
        <x:f>IF(A105="","",IF(OR(P105&lt;&gt;"",COUNTIFS(Lotes!$B$5:$B$204,A105,Lotes!$U$5:$U$204,1)&gt;0,Listas!$B$13&lt;&gt;"OK"),"REVISAR DADOS",IF(H105="Inativo","INATIVO",IF(Q105&lt;=F105,"REPOR","OK"))))</x:f>
      </x:c>
      <x:c r="O105" s="27"/>
      <x:c r="P105" s="163" t="str">
        <x:f>IF(COUNTA(A105:H105,O105)=0,"",IF(OR(A105="",COUNTIFS($A$5:$A$204,A105)&lt;&gt;1),"SKU ausente ou duplicado",IF(OR(B105="",D105=""),"Produto ou unidade ausente",IF(OR(NOT(ISNUMBER(F105)),F105&lt;0,NOT(ISNUMBER(G105)),G105&lt;0),"Mínimo ou custo inválido",IF(AND(H105&lt;&gt;"Ativo",H105&lt;&gt;"Inativo"),"Status de produto inválido","")))))</x:f>
      </x:c>
      <x:c r="Q105" s="163" t="str">
        <x:f>IF(A105="","",IF(OR(P105&lt;&gt;"",COUNTIFS(Lotes!$B$5:$B$204,A105,Lotes!$U$5:$U$204,1)&gt;0,Listas!$B$13&lt;&gt;"OK"),"n.a.",SUMIFS(Lotes!$V$5:$V$204,Lotes!$B$5:$B$204,A105)))</x:f>
      </x:c>
      <x:c r="R105" s="163" t="n">
        <x:f>IF(P105="",0,1)</x:f>
        <x:v>0</x:v>
      </x:c>
      <x:c r="S105" s="163" t="n">
        <x:f>IF(COUNTA(A105:H105,O105)=0,0,IF(OR(Listas!$B$19="Todos",A105=Listas!$B$19,A105=""),1,0))</x:f>
        <x:v>0</x:v>
      </x:c>
      <x:c r="T105" s="163" t="n">
        <x:f>IF(S105=1,COUNTIFS($S$5:S105,1),0)</x:f>
        <x:v>0</x:v>
      </x:c>
      <x:c r="U105" s="1"/>
      <x:c r="V105" s="1"/>
      <x:c r="W105" s="1"/>
    </x:row>
    <x:row r="106" ht="32" customHeight="1">
      <x:c r="A106" s="170"/>
      <x:c r="B106" s="170"/>
      <x:c r="C106" s="170"/>
      <x:c r="D106" s="170"/>
      <x:c r="E106" s="170"/>
      <x:c r="F106" s="171"/>
      <x:c r="G106" s="172"/>
      <x:c r="H106" s="170"/>
      <x:c r="I106" s="173" t="str">
        <x:f>IF(A106="","",IF(OR(P106&lt;&gt;"",COUNTIFS(Lotes!$B$5:$B$204,A106,Lotes!$U$5:$U$204,1)&gt;0,Listas!$B$13&lt;&gt;"OK"),"n.a.",SUMIFS(Lotes!$J$5:$J$204,Lotes!$B$5:$B$204,A106)))</x:f>
      </x:c>
      <x:c r="J106" s="174" t="str">
        <x:f>IF(A106="","",IF(OR(P106&lt;&gt;"",COUNTIFS(Lotes!$B$5:$B$204,A106,Lotes!$U$5:$U$204,1)&gt;0,Listas!$B$13&lt;&gt;"OK"),"n.a.",SUMIFS(Lotes!$L$5:$L$204,Lotes!$B$5:$B$204,A106)))</x:f>
      </x:c>
      <x:c r="K106" s="173" t="str">
        <x:f>IF(A106="","",IF(OR(P106&lt;&gt;"",COUNTIFS(Lotes!$B$5:$B$204,A106,Lotes!$U$5:$U$204,1)&gt;0,Listas!$B$13&lt;&gt;"OK"),"n.a.",COUNTIFS(Lotes!$B$5:$B$204,A106,Lotes!$J$5:$J$204,"&gt;0")))</x:f>
      </x:c>
      <x:c r="L106" s="173" t="str">
        <x:f>IF(A106="","",IF(OR(P106&lt;&gt;"",COUNTIFS(Lotes!$B$5:$B$204,A106,Lotes!$U$5:$U$204,1)&gt;0,Listas!$B$13&lt;&gt;"OK"),"n.a.",COUNTIFS(Lotes!$B$5:$B$204,A106,Lotes!$J$5:$J$204,"&gt;0",Lotes!$N$5:$N$204,"VENCIDO")))</x:f>
      </x:c>
      <x:c r="M106" s="173" t="str">
        <x:f>IF(A106="","",IF(OR(P106&lt;&gt;"",COUNTIFS(Lotes!$B$5:$B$204,A106,Lotes!$U$5:$U$204,1)&gt;0,Listas!$B$13&lt;&gt;"OK"),"n.a.",COUNTIFS(Lotes!$B$5:$B$204,A106,Lotes!$J$5:$J$204,"&gt;0",Lotes!$N$5:$N$204,"CRÍTICO")+COUNTIFS(Lotes!$B$5:$B$204,A106,Lotes!$J$5:$J$204,"&gt;0",Lotes!$N$5:$N$204,"VENCE NA JANELA")))</x:f>
      </x:c>
      <x:c r="N106" s="173" t="str">
        <x:f>IF(A106="","",IF(OR(P106&lt;&gt;"",COUNTIFS(Lotes!$B$5:$B$204,A106,Lotes!$U$5:$U$204,1)&gt;0,Listas!$B$13&lt;&gt;"OK"),"REVISAR DADOS",IF(H106="Inativo","INATIVO",IF(Q106&lt;=F106,"REPOR","OK"))))</x:f>
      </x:c>
      <x:c r="O106" s="27"/>
      <x:c r="P106" s="163" t="str">
        <x:f>IF(COUNTA(A106:H106,O106)=0,"",IF(OR(A106="",COUNTIFS($A$5:$A$204,A106)&lt;&gt;1),"SKU ausente ou duplicado",IF(OR(B106="",D106=""),"Produto ou unidade ausente",IF(OR(NOT(ISNUMBER(F106)),F106&lt;0,NOT(ISNUMBER(G106)),G106&lt;0),"Mínimo ou custo inválido",IF(AND(H106&lt;&gt;"Ativo",H106&lt;&gt;"Inativo"),"Status de produto inválido","")))))</x:f>
      </x:c>
      <x:c r="Q106" s="163" t="str">
        <x:f>IF(A106="","",IF(OR(P106&lt;&gt;"",COUNTIFS(Lotes!$B$5:$B$204,A106,Lotes!$U$5:$U$204,1)&gt;0,Listas!$B$13&lt;&gt;"OK"),"n.a.",SUMIFS(Lotes!$V$5:$V$204,Lotes!$B$5:$B$204,A106)))</x:f>
      </x:c>
      <x:c r="R106" s="163" t="n">
        <x:f>IF(P106="",0,1)</x:f>
        <x:v>0</x:v>
      </x:c>
      <x:c r="S106" s="163" t="n">
        <x:f>IF(COUNTA(A106:H106,O106)=0,0,IF(OR(Listas!$B$19="Todos",A106=Listas!$B$19,A106=""),1,0))</x:f>
        <x:v>0</x:v>
      </x:c>
      <x:c r="T106" s="163" t="n">
        <x:f>IF(S106=1,COUNTIFS($S$5:S106,1),0)</x:f>
        <x:v>0</x:v>
      </x:c>
      <x:c r="U106" s="1"/>
      <x:c r="V106" s="1"/>
      <x:c r="W106" s="1"/>
    </x:row>
    <x:row r="107" ht="32" customHeight="1">
      <x:c r="A107" s="170"/>
      <x:c r="B107" s="170"/>
      <x:c r="C107" s="170"/>
      <x:c r="D107" s="170"/>
      <x:c r="E107" s="170"/>
      <x:c r="F107" s="171"/>
      <x:c r="G107" s="172"/>
      <x:c r="H107" s="170"/>
      <x:c r="I107" s="173" t="str">
        <x:f>IF(A107="","",IF(OR(P107&lt;&gt;"",COUNTIFS(Lotes!$B$5:$B$204,A107,Lotes!$U$5:$U$204,1)&gt;0,Listas!$B$13&lt;&gt;"OK"),"n.a.",SUMIFS(Lotes!$J$5:$J$204,Lotes!$B$5:$B$204,A107)))</x:f>
      </x:c>
      <x:c r="J107" s="174" t="str">
        <x:f>IF(A107="","",IF(OR(P107&lt;&gt;"",COUNTIFS(Lotes!$B$5:$B$204,A107,Lotes!$U$5:$U$204,1)&gt;0,Listas!$B$13&lt;&gt;"OK"),"n.a.",SUMIFS(Lotes!$L$5:$L$204,Lotes!$B$5:$B$204,A107)))</x:f>
      </x:c>
      <x:c r="K107" s="173" t="str">
        <x:f>IF(A107="","",IF(OR(P107&lt;&gt;"",COUNTIFS(Lotes!$B$5:$B$204,A107,Lotes!$U$5:$U$204,1)&gt;0,Listas!$B$13&lt;&gt;"OK"),"n.a.",COUNTIFS(Lotes!$B$5:$B$204,A107,Lotes!$J$5:$J$204,"&gt;0")))</x:f>
      </x:c>
      <x:c r="L107" s="173" t="str">
        <x:f>IF(A107="","",IF(OR(P107&lt;&gt;"",COUNTIFS(Lotes!$B$5:$B$204,A107,Lotes!$U$5:$U$204,1)&gt;0,Listas!$B$13&lt;&gt;"OK"),"n.a.",COUNTIFS(Lotes!$B$5:$B$204,A107,Lotes!$J$5:$J$204,"&gt;0",Lotes!$N$5:$N$204,"VENCIDO")))</x:f>
      </x:c>
      <x:c r="M107" s="173" t="str">
        <x:f>IF(A107="","",IF(OR(P107&lt;&gt;"",COUNTIFS(Lotes!$B$5:$B$204,A107,Lotes!$U$5:$U$204,1)&gt;0,Listas!$B$13&lt;&gt;"OK"),"n.a.",COUNTIFS(Lotes!$B$5:$B$204,A107,Lotes!$J$5:$J$204,"&gt;0",Lotes!$N$5:$N$204,"CRÍTICO")+COUNTIFS(Lotes!$B$5:$B$204,A107,Lotes!$J$5:$J$204,"&gt;0",Lotes!$N$5:$N$204,"VENCE NA JANELA")))</x:f>
      </x:c>
      <x:c r="N107" s="173" t="str">
        <x:f>IF(A107="","",IF(OR(P107&lt;&gt;"",COUNTIFS(Lotes!$B$5:$B$204,A107,Lotes!$U$5:$U$204,1)&gt;0,Listas!$B$13&lt;&gt;"OK"),"REVISAR DADOS",IF(H107="Inativo","INATIVO",IF(Q107&lt;=F107,"REPOR","OK"))))</x:f>
      </x:c>
      <x:c r="O107" s="27"/>
      <x:c r="P107" s="163" t="str">
        <x:f>IF(COUNTA(A107:H107,O107)=0,"",IF(OR(A107="",COUNTIFS($A$5:$A$204,A107)&lt;&gt;1),"SKU ausente ou duplicado",IF(OR(B107="",D107=""),"Produto ou unidade ausente",IF(OR(NOT(ISNUMBER(F107)),F107&lt;0,NOT(ISNUMBER(G107)),G107&lt;0),"Mínimo ou custo inválido",IF(AND(H107&lt;&gt;"Ativo",H107&lt;&gt;"Inativo"),"Status de produto inválido","")))))</x:f>
      </x:c>
      <x:c r="Q107" s="163" t="str">
        <x:f>IF(A107="","",IF(OR(P107&lt;&gt;"",COUNTIFS(Lotes!$B$5:$B$204,A107,Lotes!$U$5:$U$204,1)&gt;0,Listas!$B$13&lt;&gt;"OK"),"n.a.",SUMIFS(Lotes!$V$5:$V$204,Lotes!$B$5:$B$204,A107)))</x:f>
      </x:c>
      <x:c r="R107" s="163" t="n">
        <x:f>IF(P107="",0,1)</x:f>
        <x:v>0</x:v>
      </x:c>
      <x:c r="S107" s="163" t="n">
        <x:f>IF(COUNTA(A107:H107,O107)=0,0,IF(OR(Listas!$B$19="Todos",A107=Listas!$B$19,A107=""),1,0))</x:f>
        <x:v>0</x:v>
      </x:c>
      <x:c r="T107" s="163" t="n">
        <x:f>IF(S107=1,COUNTIFS($S$5:S107,1),0)</x:f>
        <x:v>0</x:v>
      </x:c>
      <x:c r="U107" s="1"/>
      <x:c r="V107" s="1"/>
      <x:c r="W107" s="1"/>
    </x:row>
    <x:row r="108" ht="32" customHeight="1">
      <x:c r="A108" s="170"/>
      <x:c r="B108" s="170"/>
      <x:c r="C108" s="170"/>
      <x:c r="D108" s="170"/>
      <x:c r="E108" s="170"/>
      <x:c r="F108" s="171"/>
      <x:c r="G108" s="172"/>
      <x:c r="H108" s="170"/>
      <x:c r="I108" s="173" t="str">
        <x:f>IF(A108="","",IF(OR(P108&lt;&gt;"",COUNTIFS(Lotes!$B$5:$B$204,A108,Lotes!$U$5:$U$204,1)&gt;0,Listas!$B$13&lt;&gt;"OK"),"n.a.",SUMIFS(Lotes!$J$5:$J$204,Lotes!$B$5:$B$204,A108)))</x:f>
      </x:c>
      <x:c r="J108" s="174" t="str">
        <x:f>IF(A108="","",IF(OR(P108&lt;&gt;"",COUNTIFS(Lotes!$B$5:$B$204,A108,Lotes!$U$5:$U$204,1)&gt;0,Listas!$B$13&lt;&gt;"OK"),"n.a.",SUMIFS(Lotes!$L$5:$L$204,Lotes!$B$5:$B$204,A108)))</x:f>
      </x:c>
      <x:c r="K108" s="173" t="str">
        <x:f>IF(A108="","",IF(OR(P108&lt;&gt;"",COUNTIFS(Lotes!$B$5:$B$204,A108,Lotes!$U$5:$U$204,1)&gt;0,Listas!$B$13&lt;&gt;"OK"),"n.a.",COUNTIFS(Lotes!$B$5:$B$204,A108,Lotes!$J$5:$J$204,"&gt;0")))</x:f>
      </x:c>
      <x:c r="L108" s="173" t="str">
        <x:f>IF(A108="","",IF(OR(P108&lt;&gt;"",COUNTIFS(Lotes!$B$5:$B$204,A108,Lotes!$U$5:$U$204,1)&gt;0,Listas!$B$13&lt;&gt;"OK"),"n.a.",COUNTIFS(Lotes!$B$5:$B$204,A108,Lotes!$J$5:$J$204,"&gt;0",Lotes!$N$5:$N$204,"VENCIDO")))</x:f>
      </x:c>
      <x:c r="M108" s="173" t="str">
        <x:f>IF(A108="","",IF(OR(P108&lt;&gt;"",COUNTIFS(Lotes!$B$5:$B$204,A108,Lotes!$U$5:$U$204,1)&gt;0,Listas!$B$13&lt;&gt;"OK"),"n.a.",COUNTIFS(Lotes!$B$5:$B$204,A108,Lotes!$J$5:$J$204,"&gt;0",Lotes!$N$5:$N$204,"CRÍTICO")+COUNTIFS(Lotes!$B$5:$B$204,A108,Lotes!$J$5:$J$204,"&gt;0",Lotes!$N$5:$N$204,"VENCE NA JANELA")))</x:f>
      </x:c>
      <x:c r="N108" s="173" t="str">
        <x:f>IF(A108="","",IF(OR(P108&lt;&gt;"",COUNTIFS(Lotes!$B$5:$B$204,A108,Lotes!$U$5:$U$204,1)&gt;0,Listas!$B$13&lt;&gt;"OK"),"REVISAR DADOS",IF(H108="Inativo","INATIVO",IF(Q108&lt;=F108,"REPOR","OK"))))</x:f>
      </x:c>
      <x:c r="O108" s="27"/>
      <x:c r="P108" s="163" t="str">
        <x:f>IF(COUNTA(A108:H108,O108)=0,"",IF(OR(A108="",COUNTIFS($A$5:$A$204,A108)&lt;&gt;1),"SKU ausente ou duplicado",IF(OR(B108="",D108=""),"Produto ou unidade ausente",IF(OR(NOT(ISNUMBER(F108)),F108&lt;0,NOT(ISNUMBER(G108)),G108&lt;0),"Mínimo ou custo inválido",IF(AND(H108&lt;&gt;"Ativo",H108&lt;&gt;"Inativo"),"Status de produto inválido","")))))</x:f>
      </x:c>
      <x:c r="Q108" s="163" t="str">
        <x:f>IF(A108="","",IF(OR(P108&lt;&gt;"",COUNTIFS(Lotes!$B$5:$B$204,A108,Lotes!$U$5:$U$204,1)&gt;0,Listas!$B$13&lt;&gt;"OK"),"n.a.",SUMIFS(Lotes!$V$5:$V$204,Lotes!$B$5:$B$204,A108)))</x:f>
      </x:c>
      <x:c r="R108" s="163" t="n">
        <x:f>IF(P108="",0,1)</x:f>
        <x:v>0</x:v>
      </x:c>
      <x:c r="S108" s="163" t="n">
        <x:f>IF(COUNTA(A108:H108,O108)=0,0,IF(OR(Listas!$B$19="Todos",A108=Listas!$B$19,A108=""),1,0))</x:f>
        <x:v>0</x:v>
      </x:c>
      <x:c r="T108" s="163" t="n">
        <x:f>IF(S108=1,COUNTIFS($S$5:S108,1),0)</x:f>
        <x:v>0</x:v>
      </x:c>
      <x:c r="U108" s="1"/>
      <x:c r="V108" s="1"/>
      <x:c r="W108" s="1"/>
    </x:row>
    <x:row r="109" ht="32" customHeight="1">
      <x:c r="A109" s="170"/>
      <x:c r="B109" s="170"/>
      <x:c r="C109" s="170"/>
      <x:c r="D109" s="170"/>
      <x:c r="E109" s="170"/>
      <x:c r="F109" s="171"/>
      <x:c r="G109" s="172"/>
      <x:c r="H109" s="170"/>
      <x:c r="I109" s="173" t="str">
        <x:f>IF(A109="","",IF(OR(P109&lt;&gt;"",COUNTIFS(Lotes!$B$5:$B$204,A109,Lotes!$U$5:$U$204,1)&gt;0,Listas!$B$13&lt;&gt;"OK"),"n.a.",SUMIFS(Lotes!$J$5:$J$204,Lotes!$B$5:$B$204,A109)))</x:f>
      </x:c>
      <x:c r="J109" s="174" t="str">
        <x:f>IF(A109="","",IF(OR(P109&lt;&gt;"",COUNTIFS(Lotes!$B$5:$B$204,A109,Lotes!$U$5:$U$204,1)&gt;0,Listas!$B$13&lt;&gt;"OK"),"n.a.",SUMIFS(Lotes!$L$5:$L$204,Lotes!$B$5:$B$204,A109)))</x:f>
      </x:c>
      <x:c r="K109" s="173" t="str">
        <x:f>IF(A109="","",IF(OR(P109&lt;&gt;"",COUNTIFS(Lotes!$B$5:$B$204,A109,Lotes!$U$5:$U$204,1)&gt;0,Listas!$B$13&lt;&gt;"OK"),"n.a.",COUNTIFS(Lotes!$B$5:$B$204,A109,Lotes!$J$5:$J$204,"&gt;0")))</x:f>
      </x:c>
      <x:c r="L109" s="173" t="str">
        <x:f>IF(A109="","",IF(OR(P109&lt;&gt;"",COUNTIFS(Lotes!$B$5:$B$204,A109,Lotes!$U$5:$U$204,1)&gt;0,Listas!$B$13&lt;&gt;"OK"),"n.a.",COUNTIFS(Lotes!$B$5:$B$204,A109,Lotes!$J$5:$J$204,"&gt;0",Lotes!$N$5:$N$204,"VENCIDO")))</x:f>
      </x:c>
      <x:c r="M109" s="173" t="str">
        <x:f>IF(A109="","",IF(OR(P109&lt;&gt;"",COUNTIFS(Lotes!$B$5:$B$204,A109,Lotes!$U$5:$U$204,1)&gt;0,Listas!$B$13&lt;&gt;"OK"),"n.a.",COUNTIFS(Lotes!$B$5:$B$204,A109,Lotes!$J$5:$J$204,"&gt;0",Lotes!$N$5:$N$204,"CRÍTICO")+COUNTIFS(Lotes!$B$5:$B$204,A109,Lotes!$J$5:$J$204,"&gt;0",Lotes!$N$5:$N$204,"VENCE NA JANELA")))</x:f>
      </x:c>
      <x:c r="N109" s="173" t="str">
        <x:f>IF(A109="","",IF(OR(P109&lt;&gt;"",COUNTIFS(Lotes!$B$5:$B$204,A109,Lotes!$U$5:$U$204,1)&gt;0,Listas!$B$13&lt;&gt;"OK"),"REVISAR DADOS",IF(H109="Inativo","INATIVO",IF(Q109&lt;=F109,"REPOR","OK"))))</x:f>
      </x:c>
      <x:c r="O109" s="27"/>
      <x:c r="P109" s="163" t="str">
        <x:f>IF(COUNTA(A109:H109,O109)=0,"",IF(OR(A109="",COUNTIFS($A$5:$A$204,A109)&lt;&gt;1),"SKU ausente ou duplicado",IF(OR(B109="",D109=""),"Produto ou unidade ausente",IF(OR(NOT(ISNUMBER(F109)),F109&lt;0,NOT(ISNUMBER(G109)),G109&lt;0),"Mínimo ou custo inválido",IF(AND(H109&lt;&gt;"Ativo",H109&lt;&gt;"Inativo"),"Status de produto inválido","")))))</x:f>
      </x:c>
      <x:c r="Q109" s="163" t="str">
        <x:f>IF(A109="","",IF(OR(P109&lt;&gt;"",COUNTIFS(Lotes!$B$5:$B$204,A109,Lotes!$U$5:$U$204,1)&gt;0,Listas!$B$13&lt;&gt;"OK"),"n.a.",SUMIFS(Lotes!$V$5:$V$204,Lotes!$B$5:$B$204,A109)))</x:f>
      </x:c>
      <x:c r="R109" s="163" t="n">
        <x:f>IF(P109="",0,1)</x:f>
        <x:v>0</x:v>
      </x:c>
      <x:c r="S109" s="163" t="n">
        <x:f>IF(COUNTA(A109:H109,O109)=0,0,IF(OR(Listas!$B$19="Todos",A109=Listas!$B$19,A109=""),1,0))</x:f>
        <x:v>0</x:v>
      </x:c>
      <x:c r="T109" s="163" t="n">
        <x:f>IF(S109=1,COUNTIFS($S$5:S109,1),0)</x:f>
        <x:v>0</x:v>
      </x:c>
      <x:c r="U109" s="1"/>
      <x:c r="V109" s="1"/>
      <x:c r="W109" s="1"/>
    </x:row>
    <x:row r="110" ht="32" customHeight="1">
      <x:c r="A110" s="170"/>
      <x:c r="B110" s="170"/>
      <x:c r="C110" s="170"/>
      <x:c r="D110" s="170"/>
      <x:c r="E110" s="170"/>
      <x:c r="F110" s="171"/>
      <x:c r="G110" s="172"/>
      <x:c r="H110" s="170"/>
      <x:c r="I110" s="173" t="str">
        <x:f>IF(A110="","",IF(OR(P110&lt;&gt;"",COUNTIFS(Lotes!$B$5:$B$204,A110,Lotes!$U$5:$U$204,1)&gt;0,Listas!$B$13&lt;&gt;"OK"),"n.a.",SUMIFS(Lotes!$J$5:$J$204,Lotes!$B$5:$B$204,A110)))</x:f>
      </x:c>
      <x:c r="J110" s="174" t="str">
        <x:f>IF(A110="","",IF(OR(P110&lt;&gt;"",COUNTIFS(Lotes!$B$5:$B$204,A110,Lotes!$U$5:$U$204,1)&gt;0,Listas!$B$13&lt;&gt;"OK"),"n.a.",SUMIFS(Lotes!$L$5:$L$204,Lotes!$B$5:$B$204,A110)))</x:f>
      </x:c>
      <x:c r="K110" s="173" t="str">
        <x:f>IF(A110="","",IF(OR(P110&lt;&gt;"",COUNTIFS(Lotes!$B$5:$B$204,A110,Lotes!$U$5:$U$204,1)&gt;0,Listas!$B$13&lt;&gt;"OK"),"n.a.",COUNTIFS(Lotes!$B$5:$B$204,A110,Lotes!$J$5:$J$204,"&gt;0")))</x:f>
      </x:c>
      <x:c r="L110" s="173" t="str">
        <x:f>IF(A110="","",IF(OR(P110&lt;&gt;"",COUNTIFS(Lotes!$B$5:$B$204,A110,Lotes!$U$5:$U$204,1)&gt;0,Listas!$B$13&lt;&gt;"OK"),"n.a.",COUNTIFS(Lotes!$B$5:$B$204,A110,Lotes!$J$5:$J$204,"&gt;0",Lotes!$N$5:$N$204,"VENCIDO")))</x:f>
      </x:c>
      <x:c r="M110" s="173" t="str">
        <x:f>IF(A110="","",IF(OR(P110&lt;&gt;"",COUNTIFS(Lotes!$B$5:$B$204,A110,Lotes!$U$5:$U$204,1)&gt;0,Listas!$B$13&lt;&gt;"OK"),"n.a.",COUNTIFS(Lotes!$B$5:$B$204,A110,Lotes!$J$5:$J$204,"&gt;0",Lotes!$N$5:$N$204,"CRÍTICO")+COUNTIFS(Lotes!$B$5:$B$204,A110,Lotes!$J$5:$J$204,"&gt;0",Lotes!$N$5:$N$204,"VENCE NA JANELA")))</x:f>
      </x:c>
      <x:c r="N110" s="173" t="str">
        <x:f>IF(A110="","",IF(OR(P110&lt;&gt;"",COUNTIFS(Lotes!$B$5:$B$204,A110,Lotes!$U$5:$U$204,1)&gt;0,Listas!$B$13&lt;&gt;"OK"),"REVISAR DADOS",IF(H110="Inativo","INATIVO",IF(Q110&lt;=F110,"REPOR","OK"))))</x:f>
      </x:c>
      <x:c r="O110" s="27"/>
      <x:c r="P110" s="163" t="str">
        <x:f>IF(COUNTA(A110:H110,O110)=0,"",IF(OR(A110="",COUNTIFS($A$5:$A$204,A110)&lt;&gt;1),"SKU ausente ou duplicado",IF(OR(B110="",D110=""),"Produto ou unidade ausente",IF(OR(NOT(ISNUMBER(F110)),F110&lt;0,NOT(ISNUMBER(G110)),G110&lt;0),"Mínimo ou custo inválido",IF(AND(H110&lt;&gt;"Ativo",H110&lt;&gt;"Inativo"),"Status de produto inválido","")))))</x:f>
      </x:c>
      <x:c r="Q110" s="163" t="str">
        <x:f>IF(A110="","",IF(OR(P110&lt;&gt;"",COUNTIFS(Lotes!$B$5:$B$204,A110,Lotes!$U$5:$U$204,1)&gt;0,Listas!$B$13&lt;&gt;"OK"),"n.a.",SUMIFS(Lotes!$V$5:$V$204,Lotes!$B$5:$B$204,A110)))</x:f>
      </x:c>
      <x:c r="R110" s="163" t="n">
        <x:f>IF(P110="",0,1)</x:f>
        <x:v>0</x:v>
      </x:c>
      <x:c r="S110" s="163" t="n">
        <x:f>IF(COUNTA(A110:H110,O110)=0,0,IF(OR(Listas!$B$19="Todos",A110=Listas!$B$19,A110=""),1,0))</x:f>
        <x:v>0</x:v>
      </x:c>
      <x:c r="T110" s="163" t="n">
        <x:f>IF(S110=1,COUNTIFS($S$5:S110,1),0)</x:f>
        <x:v>0</x:v>
      </x:c>
      <x:c r="U110" s="1"/>
      <x:c r="V110" s="1"/>
      <x:c r="W110" s="1"/>
    </x:row>
    <x:row r="111" ht="32" customHeight="1">
      <x:c r="A111" s="170"/>
      <x:c r="B111" s="170"/>
      <x:c r="C111" s="170"/>
      <x:c r="D111" s="170"/>
      <x:c r="E111" s="170"/>
      <x:c r="F111" s="171"/>
      <x:c r="G111" s="172"/>
      <x:c r="H111" s="170"/>
      <x:c r="I111" s="173" t="str">
        <x:f>IF(A111="","",IF(OR(P111&lt;&gt;"",COUNTIFS(Lotes!$B$5:$B$204,A111,Lotes!$U$5:$U$204,1)&gt;0,Listas!$B$13&lt;&gt;"OK"),"n.a.",SUMIFS(Lotes!$J$5:$J$204,Lotes!$B$5:$B$204,A111)))</x:f>
      </x:c>
      <x:c r="J111" s="174" t="str">
        <x:f>IF(A111="","",IF(OR(P111&lt;&gt;"",COUNTIFS(Lotes!$B$5:$B$204,A111,Lotes!$U$5:$U$204,1)&gt;0,Listas!$B$13&lt;&gt;"OK"),"n.a.",SUMIFS(Lotes!$L$5:$L$204,Lotes!$B$5:$B$204,A111)))</x:f>
      </x:c>
      <x:c r="K111" s="173" t="str">
        <x:f>IF(A111="","",IF(OR(P111&lt;&gt;"",COUNTIFS(Lotes!$B$5:$B$204,A111,Lotes!$U$5:$U$204,1)&gt;0,Listas!$B$13&lt;&gt;"OK"),"n.a.",COUNTIFS(Lotes!$B$5:$B$204,A111,Lotes!$J$5:$J$204,"&gt;0")))</x:f>
      </x:c>
      <x:c r="L111" s="173" t="str">
        <x:f>IF(A111="","",IF(OR(P111&lt;&gt;"",COUNTIFS(Lotes!$B$5:$B$204,A111,Lotes!$U$5:$U$204,1)&gt;0,Listas!$B$13&lt;&gt;"OK"),"n.a.",COUNTIFS(Lotes!$B$5:$B$204,A111,Lotes!$J$5:$J$204,"&gt;0",Lotes!$N$5:$N$204,"VENCIDO")))</x:f>
      </x:c>
      <x:c r="M111" s="173" t="str">
        <x:f>IF(A111="","",IF(OR(P111&lt;&gt;"",COUNTIFS(Lotes!$B$5:$B$204,A111,Lotes!$U$5:$U$204,1)&gt;0,Listas!$B$13&lt;&gt;"OK"),"n.a.",COUNTIFS(Lotes!$B$5:$B$204,A111,Lotes!$J$5:$J$204,"&gt;0",Lotes!$N$5:$N$204,"CRÍTICO")+COUNTIFS(Lotes!$B$5:$B$204,A111,Lotes!$J$5:$J$204,"&gt;0",Lotes!$N$5:$N$204,"VENCE NA JANELA")))</x:f>
      </x:c>
      <x:c r="N111" s="173" t="str">
        <x:f>IF(A111="","",IF(OR(P111&lt;&gt;"",COUNTIFS(Lotes!$B$5:$B$204,A111,Lotes!$U$5:$U$204,1)&gt;0,Listas!$B$13&lt;&gt;"OK"),"REVISAR DADOS",IF(H111="Inativo","INATIVO",IF(Q111&lt;=F111,"REPOR","OK"))))</x:f>
      </x:c>
      <x:c r="O111" s="27"/>
      <x:c r="P111" s="163" t="str">
        <x:f>IF(COUNTA(A111:H111,O111)=0,"",IF(OR(A111="",COUNTIFS($A$5:$A$204,A111)&lt;&gt;1),"SKU ausente ou duplicado",IF(OR(B111="",D111=""),"Produto ou unidade ausente",IF(OR(NOT(ISNUMBER(F111)),F111&lt;0,NOT(ISNUMBER(G111)),G111&lt;0),"Mínimo ou custo inválido",IF(AND(H111&lt;&gt;"Ativo",H111&lt;&gt;"Inativo"),"Status de produto inválido","")))))</x:f>
      </x:c>
      <x:c r="Q111" s="163" t="str">
        <x:f>IF(A111="","",IF(OR(P111&lt;&gt;"",COUNTIFS(Lotes!$B$5:$B$204,A111,Lotes!$U$5:$U$204,1)&gt;0,Listas!$B$13&lt;&gt;"OK"),"n.a.",SUMIFS(Lotes!$V$5:$V$204,Lotes!$B$5:$B$204,A111)))</x:f>
      </x:c>
      <x:c r="R111" s="163" t="n">
        <x:f>IF(P111="",0,1)</x:f>
        <x:v>0</x:v>
      </x:c>
      <x:c r="S111" s="163" t="n">
        <x:f>IF(COUNTA(A111:H111,O111)=0,0,IF(OR(Listas!$B$19="Todos",A111=Listas!$B$19,A111=""),1,0))</x:f>
        <x:v>0</x:v>
      </x:c>
      <x:c r="T111" s="163" t="n">
        <x:f>IF(S111=1,COUNTIFS($S$5:S111,1),0)</x:f>
        <x:v>0</x:v>
      </x:c>
      <x:c r="U111" s="1"/>
      <x:c r="V111" s="1"/>
      <x:c r="W111" s="1"/>
    </x:row>
    <x:row r="112" ht="32" customHeight="1">
      <x:c r="A112" s="170"/>
      <x:c r="B112" s="170"/>
      <x:c r="C112" s="170"/>
      <x:c r="D112" s="170"/>
      <x:c r="E112" s="170"/>
      <x:c r="F112" s="171"/>
      <x:c r="G112" s="172"/>
      <x:c r="H112" s="170"/>
      <x:c r="I112" s="173" t="str">
        <x:f>IF(A112="","",IF(OR(P112&lt;&gt;"",COUNTIFS(Lotes!$B$5:$B$204,A112,Lotes!$U$5:$U$204,1)&gt;0,Listas!$B$13&lt;&gt;"OK"),"n.a.",SUMIFS(Lotes!$J$5:$J$204,Lotes!$B$5:$B$204,A112)))</x:f>
      </x:c>
      <x:c r="J112" s="174" t="str">
        <x:f>IF(A112="","",IF(OR(P112&lt;&gt;"",COUNTIFS(Lotes!$B$5:$B$204,A112,Lotes!$U$5:$U$204,1)&gt;0,Listas!$B$13&lt;&gt;"OK"),"n.a.",SUMIFS(Lotes!$L$5:$L$204,Lotes!$B$5:$B$204,A112)))</x:f>
      </x:c>
      <x:c r="K112" s="173" t="str">
        <x:f>IF(A112="","",IF(OR(P112&lt;&gt;"",COUNTIFS(Lotes!$B$5:$B$204,A112,Lotes!$U$5:$U$204,1)&gt;0,Listas!$B$13&lt;&gt;"OK"),"n.a.",COUNTIFS(Lotes!$B$5:$B$204,A112,Lotes!$J$5:$J$204,"&gt;0")))</x:f>
      </x:c>
      <x:c r="L112" s="173" t="str">
        <x:f>IF(A112="","",IF(OR(P112&lt;&gt;"",COUNTIFS(Lotes!$B$5:$B$204,A112,Lotes!$U$5:$U$204,1)&gt;0,Listas!$B$13&lt;&gt;"OK"),"n.a.",COUNTIFS(Lotes!$B$5:$B$204,A112,Lotes!$J$5:$J$204,"&gt;0",Lotes!$N$5:$N$204,"VENCIDO")))</x:f>
      </x:c>
      <x:c r="M112" s="173" t="str">
        <x:f>IF(A112="","",IF(OR(P112&lt;&gt;"",COUNTIFS(Lotes!$B$5:$B$204,A112,Lotes!$U$5:$U$204,1)&gt;0,Listas!$B$13&lt;&gt;"OK"),"n.a.",COUNTIFS(Lotes!$B$5:$B$204,A112,Lotes!$J$5:$J$204,"&gt;0",Lotes!$N$5:$N$204,"CRÍTICO")+COUNTIFS(Lotes!$B$5:$B$204,A112,Lotes!$J$5:$J$204,"&gt;0",Lotes!$N$5:$N$204,"VENCE NA JANELA")))</x:f>
      </x:c>
      <x:c r="N112" s="173" t="str">
        <x:f>IF(A112="","",IF(OR(P112&lt;&gt;"",COUNTIFS(Lotes!$B$5:$B$204,A112,Lotes!$U$5:$U$204,1)&gt;0,Listas!$B$13&lt;&gt;"OK"),"REVISAR DADOS",IF(H112="Inativo","INATIVO",IF(Q112&lt;=F112,"REPOR","OK"))))</x:f>
      </x:c>
      <x:c r="O112" s="27"/>
      <x:c r="P112" s="163" t="str">
        <x:f>IF(COUNTA(A112:H112,O112)=0,"",IF(OR(A112="",COUNTIFS($A$5:$A$204,A112)&lt;&gt;1),"SKU ausente ou duplicado",IF(OR(B112="",D112=""),"Produto ou unidade ausente",IF(OR(NOT(ISNUMBER(F112)),F112&lt;0,NOT(ISNUMBER(G112)),G112&lt;0),"Mínimo ou custo inválido",IF(AND(H112&lt;&gt;"Ativo",H112&lt;&gt;"Inativo"),"Status de produto inválido","")))))</x:f>
      </x:c>
      <x:c r="Q112" s="163" t="str">
        <x:f>IF(A112="","",IF(OR(P112&lt;&gt;"",COUNTIFS(Lotes!$B$5:$B$204,A112,Lotes!$U$5:$U$204,1)&gt;0,Listas!$B$13&lt;&gt;"OK"),"n.a.",SUMIFS(Lotes!$V$5:$V$204,Lotes!$B$5:$B$204,A112)))</x:f>
      </x:c>
      <x:c r="R112" s="163" t="n">
        <x:f>IF(P112="",0,1)</x:f>
        <x:v>0</x:v>
      </x:c>
      <x:c r="S112" s="163" t="n">
        <x:f>IF(COUNTA(A112:H112,O112)=0,0,IF(OR(Listas!$B$19="Todos",A112=Listas!$B$19,A112=""),1,0))</x:f>
        <x:v>0</x:v>
      </x:c>
      <x:c r="T112" s="163" t="n">
        <x:f>IF(S112=1,COUNTIFS($S$5:S112,1),0)</x:f>
        <x:v>0</x:v>
      </x:c>
      <x:c r="U112" s="1"/>
      <x:c r="V112" s="1"/>
      <x:c r="W112" s="1"/>
    </x:row>
    <x:row r="113" ht="32" customHeight="1">
      <x:c r="A113" s="170"/>
      <x:c r="B113" s="170"/>
      <x:c r="C113" s="170"/>
      <x:c r="D113" s="170"/>
      <x:c r="E113" s="170"/>
      <x:c r="F113" s="171"/>
      <x:c r="G113" s="172"/>
      <x:c r="H113" s="170"/>
      <x:c r="I113" s="173" t="str">
        <x:f>IF(A113="","",IF(OR(P113&lt;&gt;"",COUNTIFS(Lotes!$B$5:$B$204,A113,Lotes!$U$5:$U$204,1)&gt;0,Listas!$B$13&lt;&gt;"OK"),"n.a.",SUMIFS(Lotes!$J$5:$J$204,Lotes!$B$5:$B$204,A113)))</x:f>
      </x:c>
      <x:c r="J113" s="174" t="str">
        <x:f>IF(A113="","",IF(OR(P113&lt;&gt;"",COUNTIFS(Lotes!$B$5:$B$204,A113,Lotes!$U$5:$U$204,1)&gt;0,Listas!$B$13&lt;&gt;"OK"),"n.a.",SUMIFS(Lotes!$L$5:$L$204,Lotes!$B$5:$B$204,A113)))</x:f>
      </x:c>
      <x:c r="K113" s="173" t="str">
        <x:f>IF(A113="","",IF(OR(P113&lt;&gt;"",COUNTIFS(Lotes!$B$5:$B$204,A113,Lotes!$U$5:$U$204,1)&gt;0,Listas!$B$13&lt;&gt;"OK"),"n.a.",COUNTIFS(Lotes!$B$5:$B$204,A113,Lotes!$J$5:$J$204,"&gt;0")))</x:f>
      </x:c>
      <x:c r="L113" s="173" t="str">
        <x:f>IF(A113="","",IF(OR(P113&lt;&gt;"",COUNTIFS(Lotes!$B$5:$B$204,A113,Lotes!$U$5:$U$204,1)&gt;0,Listas!$B$13&lt;&gt;"OK"),"n.a.",COUNTIFS(Lotes!$B$5:$B$204,A113,Lotes!$J$5:$J$204,"&gt;0",Lotes!$N$5:$N$204,"VENCIDO")))</x:f>
      </x:c>
      <x:c r="M113" s="173" t="str">
        <x:f>IF(A113="","",IF(OR(P113&lt;&gt;"",COUNTIFS(Lotes!$B$5:$B$204,A113,Lotes!$U$5:$U$204,1)&gt;0,Listas!$B$13&lt;&gt;"OK"),"n.a.",COUNTIFS(Lotes!$B$5:$B$204,A113,Lotes!$J$5:$J$204,"&gt;0",Lotes!$N$5:$N$204,"CRÍTICO")+COUNTIFS(Lotes!$B$5:$B$204,A113,Lotes!$J$5:$J$204,"&gt;0",Lotes!$N$5:$N$204,"VENCE NA JANELA")))</x:f>
      </x:c>
      <x:c r="N113" s="173" t="str">
        <x:f>IF(A113="","",IF(OR(P113&lt;&gt;"",COUNTIFS(Lotes!$B$5:$B$204,A113,Lotes!$U$5:$U$204,1)&gt;0,Listas!$B$13&lt;&gt;"OK"),"REVISAR DADOS",IF(H113="Inativo","INATIVO",IF(Q113&lt;=F113,"REPOR","OK"))))</x:f>
      </x:c>
      <x:c r="O113" s="27"/>
      <x:c r="P113" s="163" t="str">
        <x:f>IF(COUNTA(A113:H113,O113)=0,"",IF(OR(A113="",COUNTIFS($A$5:$A$204,A113)&lt;&gt;1),"SKU ausente ou duplicado",IF(OR(B113="",D113=""),"Produto ou unidade ausente",IF(OR(NOT(ISNUMBER(F113)),F113&lt;0,NOT(ISNUMBER(G113)),G113&lt;0),"Mínimo ou custo inválido",IF(AND(H113&lt;&gt;"Ativo",H113&lt;&gt;"Inativo"),"Status de produto inválido","")))))</x:f>
      </x:c>
      <x:c r="Q113" s="163" t="str">
        <x:f>IF(A113="","",IF(OR(P113&lt;&gt;"",COUNTIFS(Lotes!$B$5:$B$204,A113,Lotes!$U$5:$U$204,1)&gt;0,Listas!$B$13&lt;&gt;"OK"),"n.a.",SUMIFS(Lotes!$V$5:$V$204,Lotes!$B$5:$B$204,A113)))</x:f>
      </x:c>
      <x:c r="R113" s="163" t="n">
        <x:f>IF(P113="",0,1)</x:f>
        <x:v>0</x:v>
      </x:c>
      <x:c r="S113" s="163" t="n">
        <x:f>IF(COUNTA(A113:H113,O113)=0,0,IF(OR(Listas!$B$19="Todos",A113=Listas!$B$19,A113=""),1,0))</x:f>
        <x:v>0</x:v>
      </x:c>
      <x:c r="T113" s="163" t="n">
        <x:f>IF(S113=1,COUNTIFS($S$5:S113,1),0)</x:f>
        <x:v>0</x:v>
      </x:c>
      <x:c r="U113" s="1"/>
      <x:c r="V113" s="1"/>
      <x:c r="W113" s="1"/>
    </x:row>
    <x:row r="114" ht="32" customHeight="1">
      <x:c r="A114" s="170"/>
      <x:c r="B114" s="170"/>
      <x:c r="C114" s="170"/>
      <x:c r="D114" s="170"/>
      <x:c r="E114" s="170"/>
      <x:c r="F114" s="171"/>
      <x:c r="G114" s="172"/>
      <x:c r="H114" s="170"/>
      <x:c r="I114" s="173" t="str">
        <x:f>IF(A114="","",IF(OR(P114&lt;&gt;"",COUNTIFS(Lotes!$B$5:$B$204,A114,Lotes!$U$5:$U$204,1)&gt;0,Listas!$B$13&lt;&gt;"OK"),"n.a.",SUMIFS(Lotes!$J$5:$J$204,Lotes!$B$5:$B$204,A114)))</x:f>
      </x:c>
      <x:c r="J114" s="174" t="str">
        <x:f>IF(A114="","",IF(OR(P114&lt;&gt;"",COUNTIFS(Lotes!$B$5:$B$204,A114,Lotes!$U$5:$U$204,1)&gt;0,Listas!$B$13&lt;&gt;"OK"),"n.a.",SUMIFS(Lotes!$L$5:$L$204,Lotes!$B$5:$B$204,A114)))</x:f>
      </x:c>
      <x:c r="K114" s="173" t="str">
        <x:f>IF(A114="","",IF(OR(P114&lt;&gt;"",COUNTIFS(Lotes!$B$5:$B$204,A114,Lotes!$U$5:$U$204,1)&gt;0,Listas!$B$13&lt;&gt;"OK"),"n.a.",COUNTIFS(Lotes!$B$5:$B$204,A114,Lotes!$J$5:$J$204,"&gt;0")))</x:f>
      </x:c>
      <x:c r="L114" s="173" t="str">
        <x:f>IF(A114="","",IF(OR(P114&lt;&gt;"",COUNTIFS(Lotes!$B$5:$B$204,A114,Lotes!$U$5:$U$204,1)&gt;0,Listas!$B$13&lt;&gt;"OK"),"n.a.",COUNTIFS(Lotes!$B$5:$B$204,A114,Lotes!$J$5:$J$204,"&gt;0",Lotes!$N$5:$N$204,"VENCIDO")))</x:f>
      </x:c>
      <x:c r="M114" s="173" t="str">
        <x:f>IF(A114="","",IF(OR(P114&lt;&gt;"",COUNTIFS(Lotes!$B$5:$B$204,A114,Lotes!$U$5:$U$204,1)&gt;0,Listas!$B$13&lt;&gt;"OK"),"n.a.",COUNTIFS(Lotes!$B$5:$B$204,A114,Lotes!$J$5:$J$204,"&gt;0",Lotes!$N$5:$N$204,"CRÍTICO")+COUNTIFS(Lotes!$B$5:$B$204,A114,Lotes!$J$5:$J$204,"&gt;0",Lotes!$N$5:$N$204,"VENCE NA JANELA")))</x:f>
      </x:c>
      <x:c r="N114" s="173" t="str">
        <x:f>IF(A114="","",IF(OR(P114&lt;&gt;"",COUNTIFS(Lotes!$B$5:$B$204,A114,Lotes!$U$5:$U$204,1)&gt;0,Listas!$B$13&lt;&gt;"OK"),"REVISAR DADOS",IF(H114="Inativo","INATIVO",IF(Q114&lt;=F114,"REPOR","OK"))))</x:f>
      </x:c>
      <x:c r="O114" s="27"/>
      <x:c r="P114" s="163" t="str">
        <x:f>IF(COUNTA(A114:H114,O114)=0,"",IF(OR(A114="",COUNTIFS($A$5:$A$204,A114)&lt;&gt;1),"SKU ausente ou duplicado",IF(OR(B114="",D114=""),"Produto ou unidade ausente",IF(OR(NOT(ISNUMBER(F114)),F114&lt;0,NOT(ISNUMBER(G114)),G114&lt;0),"Mínimo ou custo inválido",IF(AND(H114&lt;&gt;"Ativo",H114&lt;&gt;"Inativo"),"Status de produto inválido","")))))</x:f>
      </x:c>
      <x:c r="Q114" s="163" t="str">
        <x:f>IF(A114="","",IF(OR(P114&lt;&gt;"",COUNTIFS(Lotes!$B$5:$B$204,A114,Lotes!$U$5:$U$204,1)&gt;0,Listas!$B$13&lt;&gt;"OK"),"n.a.",SUMIFS(Lotes!$V$5:$V$204,Lotes!$B$5:$B$204,A114)))</x:f>
      </x:c>
      <x:c r="R114" s="163" t="n">
        <x:f>IF(P114="",0,1)</x:f>
        <x:v>0</x:v>
      </x:c>
      <x:c r="S114" s="163" t="n">
        <x:f>IF(COUNTA(A114:H114,O114)=0,0,IF(OR(Listas!$B$19="Todos",A114=Listas!$B$19,A114=""),1,0))</x:f>
        <x:v>0</x:v>
      </x:c>
      <x:c r="T114" s="163" t="n">
        <x:f>IF(S114=1,COUNTIFS($S$5:S114,1),0)</x:f>
        <x:v>0</x:v>
      </x:c>
      <x:c r="U114" s="1"/>
      <x:c r="V114" s="1"/>
      <x:c r="W114" s="1"/>
    </x:row>
    <x:row r="115" ht="32" customHeight="1">
      <x:c r="A115" s="170"/>
      <x:c r="B115" s="170"/>
      <x:c r="C115" s="170"/>
      <x:c r="D115" s="170"/>
      <x:c r="E115" s="170"/>
      <x:c r="F115" s="171"/>
      <x:c r="G115" s="172"/>
      <x:c r="H115" s="170"/>
      <x:c r="I115" s="173" t="str">
        <x:f>IF(A115="","",IF(OR(P115&lt;&gt;"",COUNTIFS(Lotes!$B$5:$B$204,A115,Lotes!$U$5:$U$204,1)&gt;0,Listas!$B$13&lt;&gt;"OK"),"n.a.",SUMIFS(Lotes!$J$5:$J$204,Lotes!$B$5:$B$204,A115)))</x:f>
      </x:c>
      <x:c r="J115" s="174" t="str">
        <x:f>IF(A115="","",IF(OR(P115&lt;&gt;"",COUNTIFS(Lotes!$B$5:$B$204,A115,Lotes!$U$5:$U$204,1)&gt;0,Listas!$B$13&lt;&gt;"OK"),"n.a.",SUMIFS(Lotes!$L$5:$L$204,Lotes!$B$5:$B$204,A115)))</x:f>
      </x:c>
      <x:c r="K115" s="173" t="str">
        <x:f>IF(A115="","",IF(OR(P115&lt;&gt;"",COUNTIFS(Lotes!$B$5:$B$204,A115,Lotes!$U$5:$U$204,1)&gt;0,Listas!$B$13&lt;&gt;"OK"),"n.a.",COUNTIFS(Lotes!$B$5:$B$204,A115,Lotes!$J$5:$J$204,"&gt;0")))</x:f>
      </x:c>
      <x:c r="L115" s="173" t="str">
        <x:f>IF(A115="","",IF(OR(P115&lt;&gt;"",COUNTIFS(Lotes!$B$5:$B$204,A115,Lotes!$U$5:$U$204,1)&gt;0,Listas!$B$13&lt;&gt;"OK"),"n.a.",COUNTIFS(Lotes!$B$5:$B$204,A115,Lotes!$J$5:$J$204,"&gt;0",Lotes!$N$5:$N$204,"VENCIDO")))</x:f>
      </x:c>
      <x:c r="M115" s="173" t="str">
        <x:f>IF(A115="","",IF(OR(P115&lt;&gt;"",COUNTIFS(Lotes!$B$5:$B$204,A115,Lotes!$U$5:$U$204,1)&gt;0,Listas!$B$13&lt;&gt;"OK"),"n.a.",COUNTIFS(Lotes!$B$5:$B$204,A115,Lotes!$J$5:$J$204,"&gt;0",Lotes!$N$5:$N$204,"CRÍTICO")+COUNTIFS(Lotes!$B$5:$B$204,A115,Lotes!$J$5:$J$204,"&gt;0",Lotes!$N$5:$N$204,"VENCE NA JANELA")))</x:f>
      </x:c>
      <x:c r="N115" s="173" t="str">
        <x:f>IF(A115="","",IF(OR(P115&lt;&gt;"",COUNTIFS(Lotes!$B$5:$B$204,A115,Lotes!$U$5:$U$204,1)&gt;0,Listas!$B$13&lt;&gt;"OK"),"REVISAR DADOS",IF(H115="Inativo","INATIVO",IF(Q115&lt;=F115,"REPOR","OK"))))</x:f>
      </x:c>
      <x:c r="O115" s="27"/>
      <x:c r="P115" s="163" t="str">
        <x:f>IF(COUNTA(A115:H115,O115)=0,"",IF(OR(A115="",COUNTIFS($A$5:$A$204,A115)&lt;&gt;1),"SKU ausente ou duplicado",IF(OR(B115="",D115=""),"Produto ou unidade ausente",IF(OR(NOT(ISNUMBER(F115)),F115&lt;0,NOT(ISNUMBER(G115)),G115&lt;0),"Mínimo ou custo inválido",IF(AND(H115&lt;&gt;"Ativo",H115&lt;&gt;"Inativo"),"Status de produto inválido","")))))</x:f>
      </x:c>
      <x:c r="Q115" s="163" t="str">
        <x:f>IF(A115="","",IF(OR(P115&lt;&gt;"",COUNTIFS(Lotes!$B$5:$B$204,A115,Lotes!$U$5:$U$204,1)&gt;0,Listas!$B$13&lt;&gt;"OK"),"n.a.",SUMIFS(Lotes!$V$5:$V$204,Lotes!$B$5:$B$204,A115)))</x:f>
      </x:c>
      <x:c r="R115" s="163" t="n">
        <x:f>IF(P115="",0,1)</x:f>
        <x:v>0</x:v>
      </x:c>
      <x:c r="S115" s="163" t="n">
        <x:f>IF(COUNTA(A115:H115,O115)=0,0,IF(OR(Listas!$B$19="Todos",A115=Listas!$B$19,A115=""),1,0))</x:f>
        <x:v>0</x:v>
      </x:c>
      <x:c r="T115" s="163" t="n">
        <x:f>IF(S115=1,COUNTIFS($S$5:S115,1),0)</x:f>
        <x:v>0</x:v>
      </x:c>
      <x:c r="U115" s="1"/>
      <x:c r="V115" s="1"/>
      <x:c r="W115" s="1"/>
    </x:row>
    <x:row r="116" ht="32" customHeight="1">
      <x:c r="A116" s="170"/>
      <x:c r="B116" s="170"/>
      <x:c r="C116" s="170"/>
      <x:c r="D116" s="170"/>
      <x:c r="E116" s="170"/>
      <x:c r="F116" s="171"/>
      <x:c r="G116" s="172"/>
      <x:c r="H116" s="170"/>
      <x:c r="I116" s="173" t="str">
        <x:f>IF(A116="","",IF(OR(P116&lt;&gt;"",COUNTIFS(Lotes!$B$5:$B$204,A116,Lotes!$U$5:$U$204,1)&gt;0,Listas!$B$13&lt;&gt;"OK"),"n.a.",SUMIFS(Lotes!$J$5:$J$204,Lotes!$B$5:$B$204,A116)))</x:f>
      </x:c>
      <x:c r="J116" s="174" t="str">
        <x:f>IF(A116="","",IF(OR(P116&lt;&gt;"",COUNTIFS(Lotes!$B$5:$B$204,A116,Lotes!$U$5:$U$204,1)&gt;0,Listas!$B$13&lt;&gt;"OK"),"n.a.",SUMIFS(Lotes!$L$5:$L$204,Lotes!$B$5:$B$204,A116)))</x:f>
      </x:c>
      <x:c r="K116" s="173" t="str">
        <x:f>IF(A116="","",IF(OR(P116&lt;&gt;"",COUNTIFS(Lotes!$B$5:$B$204,A116,Lotes!$U$5:$U$204,1)&gt;0,Listas!$B$13&lt;&gt;"OK"),"n.a.",COUNTIFS(Lotes!$B$5:$B$204,A116,Lotes!$J$5:$J$204,"&gt;0")))</x:f>
      </x:c>
      <x:c r="L116" s="173" t="str">
        <x:f>IF(A116="","",IF(OR(P116&lt;&gt;"",COUNTIFS(Lotes!$B$5:$B$204,A116,Lotes!$U$5:$U$204,1)&gt;0,Listas!$B$13&lt;&gt;"OK"),"n.a.",COUNTIFS(Lotes!$B$5:$B$204,A116,Lotes!$J$5:$J$204,"&gt;0",Lotes!$N$5:$N$204,"VENCIDO")))</x:f>
      </x:c>
      <x:c r="M116" s="173" t="str">
        <x:f>IF(A116="","",IF(OR(P116&lt;&gt;"",COUNTIFS(Lotes!$B$5:$B$204,A116,Lotes!$U$5:$U$204,1)&gt;0,Listas!$B$13&lt;&gt;"OK"),"n.a.",COUNTIFS(Lotes!$B$5:$B$204,A116,Lotes!$J$5:$J$204,"&gt;0",Lotes!$N$5:$N$204,"CRÍTICO")+COUNTIFS(Lotes!$B$5:$B$204,A116,Lotes!$J$5:$J$204,"&gt;0",Lotes!$N$5:$N$204,"VENCE NA JANELA")))</x:f>
      </x:c>
      <x:c r="N116" s="173" t="str">
        <x:f>IF(A116="","",IF(OR(P116&lt;&gt;"",COUNTIFS(Lotes!$B$5:$B$204,A116,Lotes!$U$5:$U$204,1)&gt;0,Listas!$B$13&lt;&gt;"OK"),"REVISAR DADOS",IF(H116="Inativo","INATIVO",IF(Q116&lt;=F116,"REPOR","OK"))))</x:f>
      </x:c>
      <x:c r="O116" s="27"/>
      <x:c r="P116" s="163" t="str">
        <x:f>IF(COUNTA(A116:H116,O116)=0,"",IF(OR(A116="",COUNTIFS($A$5:$A$204,A116)&lt;&gt;1),"SKU ausente ou duplicado",IF(OR(B116="",D116=""),"Produto ou unidade ausente",IF(OR(NOT(ISNUMBER(F116)),F116&lt;0,NOT(ISNUMBER(G116)),G116&lt;0),"Mínimo ou custo inválido",IF(AND(H116&lt;&gt;"Ativo",H116&lt;&gt;"Inativo"),"Status de produto inválido","")))))</x:f>
      </x:c>
      <x:c r="Q116" s="163" t="str">
        <x:f>IF(A116="","",IF(OR(P116&lt;&gt;"",COUNTIFS(Lotes!$B$5:$B$204,A116,Lotes!$U$5:$U$204,1)&gt;0,Listas!$B$13&lt;&gt;"OK"),"n.a.",SUMIFS(Lotes!$V$5:$V$204,Lotes!$B$5:$B$204,A116)))</x:f>
      </x:c>
      <x:c r="R116" s="163" t="n">
        <x:f>IF(P116="",0,1)</x:f>
        <x:v>0</x:v>
      </x:c>
      <x:c r="S116" s="163" t="n">
        <x:f>IF(COUNTA(A116:H116,O116)=0,0,IF(OR(Listas!$B$19="Todos",A116=Listas!$B$19,A116=""),1,0))</x:f>
        <x:v>0</x:v>
      </x:c>
      <x:c r="T116" s="163" t="n">
        <x:f>IF(S116=1,COUNTIFS($S$5:S116,1),0)</x:f>
        <x:v>0</x:v>
      </x:c>
      <x:c r="U116" s="1"/>
      <x:c r="V116" s="1"/>
      <x:c r="W116" s="1"/>
    </x:row>
    <x:row r="117" ht="32" customHeight="1">
      <x:c r="A117" s="170"/>
      <x:c r="B117" s="170"/>
      <x:c r="C117" s="170"/>
      <x:c r="D117" s="170"/>
      <x:c r="E117" s="170"/>
      <x:c r="F117" s="171"/>
      <x:c r="G117" s="172"/>
      <x:c r="H117" s="170"/>
      <x:c r="I117" s="173" t="str">
        <x:f>IF(A117="","",IF(OR(P117&lt;&gt;"",COUNTIFS(Lotes!$B$5:$B$204,A117,Lotes!$U$5:$U$204,1)&gt;0,Listas!$B$13&lt;&gt;"OK"),"n.a.",SUMIFS(Lotes!$J$5:$J$204,Lotes!$B$5:$B$204,A117)))</x:f>
      </x:c>
      <x:c r="J117" s="174" t="str">
        <x:f>IF(A117="","",IF(OR(P117&lt;&gt;"",COUNTIFS(Lotes!$B$5:$B$204,A117,Lotes!$U$5:$U$204,1)&gt;0,Listas!$B$13&lt;&gt;"OK"),"n.a.",SUMIFS(Lotes!$L$5:$L$204,Lotes!$B$5:$B$204,A117)))</x:f>
      </x:c>
      <x:c r="K117" s="173" t="str">
        <x:f>IF(A117="","",IF(OR(P117&lt;&gt;"",COUNTIFS(Lotes!$B$5:$B$204,A117,Lotes!$U$5:$U$204,1)&gt;0,Listas!$B$13&lt;&gt;"OK"),"n.a.",COUNTIFS(Lotes!$B$5:$B$204,A117,Lotes!$J$5:$J$204,"&gt;0")))</x:f>
      </x:c>
      <x:c r="L117" s="173" t="str">
        <x:f>IF(A117="","",IF(OR(P117&lt;&gt;"",COUNTIFS(Lotes!$B$5:$B$204,A117,Lotes!$U$5:$U$204,1)&gt;0,Listas!$B$13&lt;&gt;"OK"),"n.a.",COUNTIFS(Lotes!$B$5:$B$204,A117,Lotes!$J$5:$J$204,"&gt;0",Lotes!$N$5:$N$204,"VENCIDO")))</x:f>
      </x:c>
      <x:c r="M117" s="173" t="str">
        <x:f>IF(A117="","",IF(OR(P117&lt;&gt;"",COUNTIFS(Lotes!$B$5:$B$204,A117,Lotes!$U$5:$U$204,1)&gt;0,Listas!$B$13&lt;&gt;"OK"),"n.a.",COUNTIFS(Lotes!$B$5:$B$204,A117,Lotes!$J$5:$J$204,"&gt;0",Lotes!$N$5:$N$204,"CRÍTICO")+COUNTIFS(Lotes!$B$5:$B$204,A117,Lotes!$J$5:$J$204,"&gt;0",Lotes!$N$5:$N$204,"VENCE NA JANELA")))</x:f>
      </x:c>
      <x:c r="N117" s="173" t="str">
        <x:f>IF(A117="","",IF(OR(P117&lt;&gt;"",COUNTIFS(Lotes!$B$5:$B$204,A117,Lotes!$U$5:$U$204,1)&gt;0,Listas!$B$13&lt;&gt;"OK"),"REVISAR DADOS",IF(H117="Inativo","INATIVO",IF(Q117&lt;=F117,"REPOR","OK"))))</x:f>
      </x:c>
      <x:c r="O117" s="27"/>
      <x:c r="P117" s="163" t="str">
        <x:f>IF(COUNTA(A117:H117,O117)=0,"",IF(OR(A117="",COUNTIFS($A$5:$A$204,A117)&lt;&gt;1),"SKU ausente ou duplicado",IF(OR(B117="",D117=""),"Produto ou unidade ausente",IF(OR(NOT(ISNUMBER(F117)),F117&lt;0,NOT(ISNUMBER(G117)),G117&lt;0),"Mínimo ou custo inválido",IF(AND(H117&lt;&gt;"Ativo",H117&lt;&gt;"Inativo"),"Status de produto inválido","")))))</x:f>
      </x:c>
      <x:c r="Q117" s="163" t="str">
        <x:f>IF(A117="","",IF(OR(P117&lt;&gt;"",COUNTIFS(Lotes!$B$5:$B$204,A117,Lotes!$U$5:$U$204,1)&gt;0,Listas!$B$13&lt;&gt;"OK"),"n.a.",SUMIFS(Lotes!$V$5:$V$204,Lotes!$B$5:$B$204,A117)))</x:f>
      </x:c>
      <x:c r="R117" s="163" t="n">
        <x:f>IF(P117="",0,1)</x:f>
        <x:v>0</x:v>
      </x:c>
      <x:c r="S117" s="163" t="n">
        <x:f>IF(COUNTA(A117:H117,O117)=0,0,IF(OR(Listas!$B$19="Todos",A117=Listas!$B$19,A117=""),1,0))</x:f>
        <x:v>0</x:v>
      </x:c>
      <x:c r="T117" s="163" t="n">
        <x:f>IF(S117=1,COUNTIFS($S$5:S117,1),0)</x:f>
        <x:v>0</x:v>
      </x:c>
      <x:c r="U117" s="1"/>
      <x:c r="V117" s="1"/>
      <x:c r="W117" s="1"/>
    </x:row>
    <x:row r="118" ht="32" customHeight="1">
      <x:c r="A118" s="170"/>
      <x:c r="B118" s="170"/>
      <x:c r="C118" s="170"/>
      <x:c r="D118" s="170"/>
      <x:c r="E118" s="170"/>
      <x:c r="F118" s="171"/>
      <x:c r="G118" s="172"/>
      <x:c r="H118" s="170"/>
      <x:c r="I118" s="173" t="str">
        <x:f>IF(A118="","",IF(OR(P118&lt;&gt;"",COUNTIFS(Lotes!$B$5:$B$204,A118,Lotes!$U$5:$U$204,1)&gt;0,Listas!$B$13&lt;&gt;"OK"),"n.a.",SUMIFS(Lotes!$J$5:$J$204,Lotes!$B$5:$B$204,A118)))</x:f>
      </x:c>
      <x:c r="J118" s="174" t="str">
        <x:f>IF(A118="","",IF(OR(P118&lt;&gt;"",COUNTIFS(Lotes!$B$5:$B$204,A118,Lotes!$U$5:$U$204,1)&gt;0,Listas!$B$13&lt;&gt;"OK"),"n.a.",SUMIFS(Lotes!$L$5:$L$204,Lotes!$B$5:$B$204,A118)))</x:f>
      </x:c>
      <x:c r="K118" s="173" t="str">
        <x:f>IF(A118="","",IF(OR(P118&lt;&gt;"",COUNTIFS(Lotes!$B$5:$B$204,A118,Lotes!$U$5:$U$204,1)&gt;0,Listas!$B$13&lt;&gt;"OK"),"n.a.",COUNTIFS(Lotes!$B$5:$B$204,A118,Lotes!$J$5:$J$204,"&gt;0")))</x:f>
      </x:c>
      <x:c r="L118" s="173" t="str">
        <x:f>IF(A118="","",IF(OR(P118&lt;&gt;"",COUNTIFS(Lotes!$B$5:$B$204,A118,Lotes!$U$5:$U$204,1)&gt;0,Listas!$B$13&lt;&gt;"OK"),"n.a.",COUNTIFS(Lotes!$B$5:$B$204,A118,Lotes!$J$5:$J$204,"&gt;0",Lotes!$N$5:$N$204,"VENCIDO")))</x:f>
      </x:c>
      <x:c r="M118" s="173" t="str">
        <x:f>IF(A118="","",IF(OR(P118&lt;&gt;"",COUNTIFS(Lotes!$B$5:$B$204,A118,Lotes!$U$5:$U$204,1)&gt;0,Listas!$B$13&lt;&gt;"OK"),"n.a.",COUNTIFS(Lotes!$B$5:$B$204,A118,Lotes!$J$5:$J$204,"&gt;0",Lotes!$N$5:$N$204,"CRÍTICO")+COUNTIFS(Lotes!$B$5:$B$204,A118,Lotes!$J$5:$J$204,"&gt;0",Lotes!$N$5:$N$204,"VENCE NA JANELA")))</x:f>
      </x:c>
      <x:c r="N118" s="173" t="str">
        <x:f>IF(A118="","",IF(OR(P118&lt;&gt;"",COUNTIFS(Lotes!$B$5:$B$204,A118,Lotes!$U$5:$U$204,1)&gt;0,Listas!$B$13&lt;&gt;"OK"),"REVISAR DADOS",IF(H118="Inativo","INATIVO",IF(Q118&lt;=F118,"REPOR","OK"))))</x:f>
      </x:c>
      <x:c r="O118" s="27"/>
      <x:c r="P118" s="163" t="str">
        <x:f>IF(COUNTA(A118:H118,O118)=0,"",IF(OR(A118="",COUNTIFS($A$5:$A$204,A118)&lt;&gt;1),"SKU ausente ou duplicado",IF(OR(B118="",D118=""),"Produto ou unidade ausente",IF(OR(NOT(ISNUMBER(F118)),F118&lt;0,NOT(ISNUMBER(G118)),G118&lt;0),"Mínimo ou custo inválido",IF(AND(H118&lt;&gt;"Ativo",H118&lt;&gt;"Inativo"),"Status de produto inválido","")))))</x:f>
      </x:c>
      <x:c r="Q118" s="163" t="str">
        <x:f>IF(A118="","",IF(OR(P118&lt;&gt;"",COUNTIFS(Lotes!$B$5:$B$204,A118,Lotes!$U$5:$U$204,1)&gt;0,Listas!$B$13&lt;&gt;"OK"),"n.a.",SUMIFS(Lotes!$V$5:$V$204,Lotes!$B$5:$B$204,A118)))</x:f>
      </x:c>
      <x:c r="R118" s="163" t="n">
        <x:f>IF(P118="",0,1)</x:f>
        <x:v>0</x:v>
      </x:c>
      <x:c r="S118" s="163" t="n">
        <x:f>IF(COUNTA(A118:H118,O118)=0,0,IF(OR(Listas!$B$19="Todos",A118=Listas!$B$19,A118=""),1,0))</x:f>
        <x:v>0</x:v>
      </x:c>
      <x:c r="T118" s="163" t="n">
        <x:f>IF(S118=1,COUNTIFS($S$5:S118,1),0)</x:f>
        <x:v>0</x:v>
      </x:c>
      <x:c r="U118" s="1"/>
      <x:c r="V118" s="1"/>
      <x:c r="W118" s="1"/>
    </x:row>
    <x:row r="119" ht="32" customHeight="1">
      <x:c r="A119" s="170"/>
      <x:c r="B119" s="170"/>
      <x:c r="C119" s="170"/>
      <x:c r="D119" s="170"/>
      <x:c r="E119" s="170"/>
      <x:c r="F119" s="171"/>
      <x:c r="G119" s="172"/>
      <x:c r="H119" s="170"/>
      <x:c r="I119" s="173" t="str">
        <x:f>IF(A119="","",IF(OR(P119&lt;&gt;"",COUNTIFS(Lotes!$B$5:$B$204,A119,Lotes!$U$5:$U$204,1)&gt;0,Listas!$B$13&lt;&gt;"OK"),"n.a.",SUMIFS(Lotes!$J$5:$J$204,Lotes!$B$5:$B$204,A119)))</x:f>
      </x:c>
      <x:c r="J119" s="174" t="str">
        <x:f>IF(A119="","",IF(OR(P119&lt;&gt;"",COUNTIFS(Lotes!$B$5:$B$204,A119,Lotes!$U$5:$U$204,1)&gt;0,Listas!$B$13&lt;&gt;"OK"),"n.a.",SUMIFS(Lotes!$L$5:$L$204,Lotes!$B$5:$B$204,A119)))</x:f>
      </x:c>
      <x:c r="K119" s="173" t="str">
        <x:f>IF(A119="","",IF(OR(P119&lt;&gt;"",COUNTIFS(Lotes!$B$5:$B$204,A119,Lotes!$U$5:$U$204,1)&gt;0,Listas!$B$13&lt;&gt;"OK"),"n.a.",COUNTIFS(Lotes!$B$5:$B$204,A119,Lotes!$J$5:$J$204,"&gt;0")))</x:f>
      </x:c>
      <x:c r="L119" s="173" t="str">
        <x:f>IF(A119="","",IF(OR(P119&lt;&gt;"",COUNTIFS(Lotes!$B$5:$B$204,A119,Lotes!$U$5:$U$204,1)&gt;0,Listas!$B$13&lt;&gt;"OK"),"n.a.",COUNTIFS(Lotes!$B$5:$B$204,A119,Lotes!$J$5:$J$204,"&gt;0",Lotes!$N$5:$N$204,"VENCIDO")))</x:f>
      </x:c>
      <x:c r="M119" s="173" t="str">
        <x:f>IF(A119="","",IF(OR(P119&lt;&gt;"",COUNTIFS(Lotes!$B$5:$B$204,A119,Lotes!$U$5:$U$204,1)&gt;0,Listas!$B$13&lt;&gt;"OK"),"n.a.",COUNTIFS(Lotes!$B$5:$B$204,A119,Lotes!$J$5:$J$204,"&gt;0",Lotes!$N$5:$N$204,"CRÍTICO")+COUNTIFS(Lotes!$B$5:$B$204,A119,Lotes!$J$5:$J$204,"&gt;0",Lotes!$N$5:$N$204,"VENCE NA JANELA")))</x:f>
      </x:c>
      <x:c r="N119" s="173" t="str">
        <x:f>IF(A119="","",IF(OR(P119&lt;&gt;"",COUNTIFS(Lotes!$B$5:$B$204,A119,Lotes!$U$5:$U$204,1)&gt;0,Listas!$B$13&lt;&gt;"OK"),"REVISAR DADOS",IF(H119="Inativo","INATIVO",IF(Q119&lt;=F119,"REPOR","OK"))))</x:f>
      </x:c>
      <x:c r="O119" s="27"/>
      <x:c r="P119" s="163" t="str">
        <x:f>IF(COUNTA(A119:H119,O119)=0,"",IF(OR(A119="",COUNTIFS($A$5:$A$204,A119)&lt;&gt;1),"SKU ausente ou duplicado",IF(OR(B119="",D119=""),"Produto ou unidade ausente",IF(OR(NOT(ISNUMBER(F119)),F119&lt;0,NOT(ISNUMBER(G119)),G119&lt;0),"Mínimo ou custo inválido",IF(AND(H119&lt;&gt;"Ativo",H119&lt;&gt;"Inativo"),"Status de produto inválido","")))))</x:f>
      </x:c>
      <x:c r="Q119" s="163" t="str">
        <x:f>IF(A119="","",IF(OR(P119&lt;&gt;"",COUNTIFS(Lotes!$B$5:$B$204,A119,Lotes!$U$5:$U$204,1)&gt;0,Listas!$B$13&lt;&gt;"OK"),"n.a.",SUMIFS(Lotes!$V$5:$V$204,Lotes!$B$5:$B$204,A119)))</x:f>
      </x:c>
      <x:c r="R119" s="163" t="n">
        <x:f>IF(P119="",0,1)</x:f>
        <x:v>0</x:v>
      </x:c>
      <x:c r="S119" s="163" t="n">
        <x:f>IF(COUNTA(A119:H119,O119)=0,0,IF(OR(Listas!$B$19="Todos",A119=Listas!$B$19,A119=""),1,0))</x:f>
        <x:v>0</x:v>
      </x:c>
      <x:c r="T119" s="163" t="n">
        <x:f>IF(S119=1,COUNTIFS($S$5:S119,1),0)</x:f>
        <x:v>0</x:v>
      </x:c>
      <x:c r="U119" s="1"/>
      <x:c r="V119" s="1"/>
      <x:c r="W119" s="1"/>
    </x:row>
    <x:row r="120" ht="32" customHeight="1">
      <x:c r="A120" s="170"/>
      <x:c r="B120" s="170"/>
      <x:c r="C120" s="170"/>
      <x:c r="D120" s="170"/>
      <x:c r="E120" s="170"/>
      <x:c r="F120" s="171"/>
      <x:c r="G120" s="172"/>
      <x:c r="H120" s="170"/>
      <x:c r="I120" s="173" t="str">
        <x:f>IF(A120="","",IF(OR(P120&lt;&gt;"",COUNTIFS(Lotes!$B$5:$B$204,A120,Lotes!$U$5:$U$204,1)&gt;0,Listas!$B$13&lt;&gt;"OK"),"n.a.",SUMIFS(Lotes!$J$5:$J$204,Lotes!$B$5:$B$204,A120)))</x:f>
      </x:c>
      <x:c r="J120" s="174" t="str">
        <x:f>IF(A120="","",IF(OR(P120&lt;&gt;"",COUNTIFS(Lotes!$B$5:$B$204,A120,Lotes!$U$5:$U$204,1)&gt;0,Listas!$B$13&lt;&gt;"OK"),"n.a.",SUMIFS(Lotes!$L$5:$L$204,Lotes!$B$5:$B$204,A120)))</x:f>
      </x:c>
      <x:c r="K120" s="173" t="str">
        <x:f>IF(A120="","",IF(OR(P120&lt;&gt;"",COUNTIFS(Lotes!$B$5:$B$204,A120,Lotes!$U$5:$U$204,1)&gt;0,Listas!$B$13&lt;&gt;"OK"),"n.a.",COUNTIFS(Lotes!$B$5:$B$204,A120,Lotes!$J$5:$J$204,"&gt;0")))</x:f>
      </x:c>
      <x:c r="L120" s="173" t="str">
        <x:f>IF(A120="","",IF(OR(P120&lt;&gt;"",COUNTIFS(Lotes!$B$5:$B$204,A120,Lotes!$U$5:$U$204,1)&gt;0,Listas!$B$13&lt;&gt;"OK"),"n.a.",COUNTIFS(Lotes!$B$5:$B$204,A120,Lotes!$J$5:$J$204,"&gt;0",Lotes!$N$5:$N$204,"VENCIDO")))</x:f>
      </x:c>
      <x:c r="M120" s="173" t="str">
        <x:f>IF(A120="","",IF(OR(P120&lt;&gt;"",COUNTIFS(Lotes!$B$5:$B$204,A120,Lotes!$U$5:$U$204,1)&gt;0,Listas!$B$13&lt;&gt;"OK"),"n.a.",COUNTIFS(Lotes!$B$5:$B$204,A120,Lotes!$J$5:$J$204,"&gt;0",Lotes!$N$5:$N$204,"CRÍTICO")+COUNTIFS(Lotes!$B$5:$B$204,A120,Lotes!$J$5:$J$204,"&gt;0",Lotes!$N$5:$N$204,"VENCE NA JANELA")))</x:f>
      </x:c>
      <x:c r="N120" s="173" t="str">
        <x:f>IF(A120="","",IF(OR(P120&lt;&gt;"",COUNTIFS(Lotes!$B$5:$B$204,A120,Lotes!$U$5:$U$204,1)&gt;0,Listas!$B$13&lt;&gt;"OK"),"REVISAR DADOS",IF(H120="Inativo","INATIVO",IF(Q120&lt;=F120,"REPOR","OK"))))</x:f>
      </x:c>
      <x:c r="O120" s="27"/>
      <x:c r="P120" s="163" t="str">
        <x:f>IF(COUNTA(A120:H120,O120)=0,"",IF(OR(A120="",COUNTIFS($A$5:$A$204,A120)&lt;&gt;1),"SKU ausente ou duplicado",IF(OR(B120="",D120=""),"Produto ou unidade ausente",IF(OR(NOT(ISNUMBER(F120)),F120&lt;0,NOT(ISNUMBER(G120)),G120&lt;0),"Mínimo ou custo inválido",IF(AND(H120&lt;&gt;"Ativo",H120&lt;&gt;"Inativo"),"Status de produto inválido","")))))</x:f>
      </x:c>
      <x:c r="Q120" s="163" t="str">
        <x:f>IF(A120="","",IF(OR(P120&lt;&gt;"",COUNTIFS(Lotes!$B$5:$B$204,A120,Lotes!$U$5:$U$204,1)&gt;0,Listas!$B$13&lt;&gt;"OK"),"n.a.",SUMIFS(Lotes!$V$5:$V$204,Lotes!$B$5:$B$204,A120)))</x:f>
      </x:c>
      <x:c r="R120" s="163" t="n">
        <x:f>IF(P120="",0,1)</x:f>
        <x:v>0</x:v>
      </x:c>
      <x:c r="S120" s="163" t="n">
        <x:f>IF(COUNTA(A120:H120,O120)=0,0,IF(OR(Listas!$B$19="Todos",A120=Listas!$B$19,A120=""),1,0))</x:f>
        <x:v>0</x:v>
      </x:c>
      <x:c r="T120" s="163" t="n">
        <x:f>IF(S120=1,COUNTIFS($S$5:S120,1),0)</x:f>
        <x:v>0</x:v>
      </x:c>
      <x:c r="U120" s="1"/>
      <x:c r="V120" s="1"/>
      <x:c r="W120" s="1"/>
    </x:row>
    <x:row r="121" ht="32" customHeight="1">
      <x:c r="A121" s="170"/>
      <x:c r="B121" s="170"/>
      <x:c r="C121" s="170"/>
      <x:c r="D121" s="170"/>
      <x:c r="E121" s="170"/>
      <x:c r="F121" s="171"/>
      <x:c r="G121" s="172"/>
      <x:c r="H121" s="170"/>
      <x:c r="I121" s="173" t="str">
        <x:f>IF(A121="","",IF(OR(P121&lt;&gt;"",COUNTIFS(Lotes!$B$5:$B$204,A121,Lotes!$U$5:$U$204,1)&gt;0,Listas!$B$13&lt;&gt;"OK"),"n.a.",SUMIFS(Lotes!$J$5:$J$204,Lotes!$B$5:$B$204,A121)))</x:f>
      </x:c>
      <x:c r="J121" s="174" t="str">
        <x:f>IF(A121="","",IF(OR(P121&lt;&gt;"",COUNTIFS(Lotes!$B$5:$B$204,A121,Lotes!$U$5:$U$204,1)&gt;0,Listas!$B$13&lt;&gt;"OK"),"n.a.",SUMIFS(Lotes!$L$5:$L$204,Lotes!$B$5:$B$204,A121)))</x:f>
      </x:c>
      <x:c r="K121" s="173" t="str">
        <x:f>IF(A121="","",IF(OR(P121&lt;&gt;"",COUNTIFS(Lotes!$B$5:$B$204,A121,Lotes!$U$5:$U$204,1)&gt;0,Listas!$B$13&lt;&gt;"OK"),"n.a.",COUNTIFS(Lotes!$B$5:$B$204,A121,Lotes!$J$5:$J$204,"&gt;0")))</x:f>
      </x:c>
      <x:c r="L121" s="173" t="str">
        <x:f>IF(A121="","",IF(OR(P121&lt;&gt;"",COUNTIFS(Lotes!$B$5:$B$204,A121,Lotes!$U$5:$U$204,1)&gt;0,Listas!$B$13&lt;&gt;"OK"),"n.a.",COUNTIFS(Lotes!$B$5:$B$204,A121,Lotes!$J$5:$J$204,"&gt;0",Lotes!$N$5:$N$204,"VENCIDO")))</x:f>
      </x:c>
      <x:c r="M121" s="173" t="str">
        <x:f>IF(A121="","",IF(OR(P121&lt;&gt;"",COUNTIFS(Lotes!$B$5:$B$204,A121,Lotes!$U$5:$U$204,1)&gt;0,Listas!$B$13&lt;&gt;"OK"),"n.a.",COUNTIFS(Lotes!$B$5:$B$204,A121,Lotes!$J$5:$J$204,"&gt;0",Lotes!$N$5:$N$204,"CRÍTICO")+COUNTIFS(Lotes!$B$5:$B$204,A121,Lotes!$J$5:$J$204,"&gt;0",Lotes!$N$5:$N$204,"VENCE NA JANELA")))</x:f>
      </x:c>
      <x:c r="N121" s="173" t="str">
        <x:f>IF(A121="","",IF(OR(P121&lt;&gt;"",COUNTIFS(Lotes!$B$5:$B$204,A121,Lotes!$U$5:$U$204,1)&gt;0,Listas!$B$13&lt;&gt;"OK"),"REVISAR DADOS",IF(H121="Inativo","INATIVO",IF(Q121&lt;=F121,"REPOR","OK"))))</x:f>
      </x:c>
      <x:c r="O121" s="27"/>
      <x:c r="P121" s="163" t="str">
        <x:f>IF(COUNTA(A121:H121,O121)=0,"",IF(OR(A121="",COUNTIFS($A$5:$A$204,A121)&lt;&gt;1),"SKU ausente ou duplicado",IF(OR(B121="",D121=""),"Produto ou unidade ausente",IF(OR(NOT(ISNUMBER(F121)),F121&lt;0,NOT(ISNUMBER(G121)),G121&lt;0),"Mínimo ou custo inválido",IF(AND(H121&lt;&gt;"Ativo",H121&lt;&gt;"Inativo"),"Status de produto inválido","")))))</x:f>
      </x:c>
      <x:c r="Q121" s="163" t="str">
        <x:f>IF(A121="","",IF(OR(P121&lt;&gt;"",COUNTIFS(Lotes!$B$5:$B$204,A121,Lotes!$U$5:$U$204,1)&gt;0,Listas!$B$13&lt;&gt;"OK"),"n.a.",SUMIFS(Lotes!$V$5:$V$204,Lotes!$B$5:$B$204,A121)))</x:f>
      </x:c>
      <x:c r="R121" s="163" t="n">
        <x:f>IF(P121="",0,1)</x:f>
        <x:v>0</x:v>
      </x:c>
      <x:c r="S121" s="163" t="n">
        <x:f>IF(COUNTA(A121:H121,O121)=0,0,IF(OR(Listas!$B$19="Todos",A121=Listas!$B$19,A121=""),1,0))</x:f>
        <x:v>0</x:v>
      </x:c>
      <x:c r="T121" s="163" t="n">
        <x:f>IF(S121=1,COUNTIFS($S$5:S121,1),0)</x:f>
        <x:v>0</x:v>
      </x:c>
      <x:c r="U121" s="1"/>
      <x:c r="V121" s="1"/>
      <x:c r="W121" s="1"/>
    </x:row>
    <x:row r="122" ht="32" customHeight="1">
      <x:c r="A122" s="170"/>
      <x:c r="B122" s="170"/>
      <x:c r="C122" s="170"/>
      <x:c r="D122" s="170"/>
      <x:c r="E122" s="170"/>
      <x:c r="F122" s="171"/>
      <x:c r="G122" s="172"/>
      <x:c r="H122" s="170"/>
      <x:c r="I122" s="173" t="str">
        <x:f>IF(A122="","",IF(OR(P122&lt;&gt;"",COUNTIFS(Lotes!$B$5:$B$204,A122,Lotes!$U$5:$U$204,1)&gt;0,Listas!$B$13&lt;&gt;"OK"),"n.a.",SUMIFS(Lotes!$J$5:$J$204,Lotes!$B$5:$B$204,A122)))</x:f>
      </x:c>
      <x:c r="J122" s="174" t="str">
        <x:f>IF(A122="","",IF(OR(P122&lt;&gt;"",COUNTIFS(Lotes!$B$5:$B$204,A122,Lotes!$U$5:$U$204,1)&gt;0,Listas!$B$13&lt;&gt;"OK"),"n.a.",SUMIFS(Lotes!$L$5:$L$204,Lotes!$B$5:$B$204,A122)))</x:f>
      </x:c>
      <x:c r="K122" s="173" t="str">
        <x:f>IF(A122="","",IF(OR(P122&lt;&gt;"",COUNTIFS(Lotes!$B$5:$B$204,A122,Lotes!$U$5:$U$204,1)&gt;0,Listas!$B$13&lt;&gt;"OK"),"n.a.",COUNTIFS(Lotes!$B$5:$B$204,A122,Lotes!$J$5:$J$204,"&gt;0")))</x:f>
      </x:c>
      <x:c r="L122" s="173" t="str">
        <x:f>IF(A122="","",IF(OR(P122&lt;&gt;"",COUNTIFS(Lotes!$B$5:$B$204,A122,Lotes!$U$5:$U$204,1)&gt;0,Listas!$B$13&lt;&gt;"OK"),"n.a.",COUNTIFS(Lotes!$B$5:$B$204,A122,Lotes!$J$5:$J$204,"&gt;0",Lotes!$N$5:$N$204,"VENCIDO")))</x:f>
      </x:c>
      <x:c r="M122" s="173" t="str">
        <x:f>IF(A122="","",IF(OR(P122&lt;&gt;"",COUNTIFS(Lotes!$B$5:$B$204,A122,Lotes!$U$5:$U$204,1)&gt;0,Listas!$B$13&lt;&gt;"OK"),"n.a.",COUNTIFS(Lotes!$B$5:$B$204,A122,Lotes!$J$5:$J$204,"&gt;0",Lotes!$N$5:$N$204,"CRÍTICO")+COUNTIFS(Lotes!$B$5:$B$204,A122,Lotes!$J$5:$J$204,"&gt;0",Lotes!$N$5:$N$204,"VENCE NA JANELA")))</x:f>
      </x:c>
      <x:c r="N122" s="173" t="str">
        <x:f>IF(A122="","",IF(OR(P122&lt;&gt;"",COUNTIFS(Lotes!$B$5:$B$204,A122,Lotes!$U$5:$U$204,1)&gt;0,Listas!$B$13&lt;&gt;"OK"),"REVISAR DADOS",IF(H122="Inativo","INATIVO",IF(Q122&lt;=F122,"REPOR","OK"))))</x:f>
      </x:c>
      <x:c r="O122" s="27"/>
      <x:c r="P122" s="163" t="str">
        <x:f>IF(COUNTA(A122:H122,O122)=0,"",IF(OR(A122="",COUNTIFS($A$5:$A$204,A122)&lt;&gt;1),"SKU ausente ou duplicado",IF(OR(B122="",D122=""),"Produto ou unidade ausente",IF(OR(NOT(ISNUMBER(F122)),F122&lt;0,NOT(ISNUMBER(G122)),G122&lt;0),"Mínimo ou custo inválido",IF(AND(H122&lt;&gt;"Ativo",H122&lt;&gt;"Inativo"),"Status de produto inválido","")))))</x:f>
      </x:c>
      <x:c r="Q122" s="163" t="str">
        <x:f>IF(A122="","",IF(OR(P122&lt;&gt;"",COUNTIFS(Lotes!$B$5:$B$204,A122,Lotes!$U$5:$U$204,1)&gt;0,Listas!$B$13&lt;&gt;"OK"),"n.a.",SUMIFS(Lotes!$V$5:$V$204,Lotes!$B$5:$B$204,A122)))</x:f>
      </x:c>
      <x:c r="R122" s="163" t="n">
        <x:f>IF(P122="",0,1)</x:f>
        <x:v>0</x:v>
      </x:c>
      <x:c r="S122" s="163" t="n">
        <x:f>IF(COUNTA(A122:H122,O122)=0,0,IF(OR(Listas!$B$19="Todos",A122=Listas!$B$19,A122=""),1,0))</x:f>
        <x:v>0</x:v>
      </x:c>
      <x:c r="T122" s="163" t="n">
        <x:f>IF(S122=1,COUNTIFS($S$5:S122,1),0)</x:f>
        <x:v>0</x:v>
      </x:c>
      <x:c r="U122" s="1"/>
      <x:c r="V122" s="1"/>
      <x:c r="W122" s="1"/>
    </x:row>
    <x:row r="123" ht="32" customHeight="1">
      <x:c r="A123" s="170"/>
      <x:c r="B123" s="170"/>
      <x:c r="C123" s="170"/>
      <x:c r="D123" s="170"/>
      <x:c r="E123" s="170"/>
      <x:c r="F123" s="171"/>
      <x:c r="G123" s="172"/>
      <x:c r="H123" s="170"/>
      <x:c r="I123" s="173" t="str">
        <x:f>IF(A123="","",IF(OR(P123&lt;&gt;"",COUNTIFS(Lotes!$B$5:$B$204,A123,Lotes!$U$5:$U$204,1)&gt;0,Listas!$B$13&lt;&gt;"OK"),"n.a.",SUMIFS(Lotes!$J$5:$J$204,Lotes!$B$5:$B$204,A123)))</x:f>
      </x:c>
      <x:c r="J123" s="174" t="str">
        <x:f>IF(A123="","",IF(OR(P123&lt;&gt;"",COUNTIFS(Lotes!$B$5:$B$204,A123,Lotes!$U$5:$U$204,1)&gt;0,Listas!$B$13&lt;&gt;"OK"),"n.a.",SUMIFS(Lotes!$L$5:$L$204,Lotes!$B$5:$B$204,A123)))</x:f>
      </x:c>
      <x:c r="K123" s="173" t="str">
        <x:f>IF(A123="","",IF(OR(P123&lt;&gt;"",COUNTIFS(Lotes!$B$5:$B$204,A123,Lotes!$U$5:$U$204,1)&gt;0,Listas!$B$13&lt;&gt;"OK"),"n.a.",COUNTIFS(Lotes!$B$5:$B$204,A123,Lotes!$J$5:$J$204,"&gt;0")))</x:f>
      </x:c>
      <x:c r="L123" s="173" t="str">
        <x:f>IF(A123="","",IF(OR(P123&lt;&gt;"",COUNTIFS(Lotes!$B$5:$B$204,A123,Lotes!$U$5:$U$204,1)&gt;0,Listas!$B$13&lt;&gt;"OK"),"n.a.",COUNTIFS(Lotes!$B$5:$B$204,A123,Lotes!$J$5:$J$204,"&gt;0",Lotes!$N$5:$N$204,"VENCIDO")))</x:f>
      </x:c>
      <x:c r="M123" s="173" t="str">
        <x:f>IF(A123="","",IF(OR(P123&lt;&gt;"",COUNTIFS(Lotes!$B$5:$B$204,A123,Lotes!$U$5:$U$204,1)&gt;0,Listas!$B$13&lt;&gt;"OK"),"n.a.",COUNTIFS(Lotes!$B$5:$B$204,A123,Lotes!$J$5:$J$204,"&gt;0",Lotes!$N$5:$N$204,"CRÍTICO")+COUNTIFS(Lotes!$B$5:$B$204,A123,Lotes!$J$5:$J$204,"&gt;0",Lotes!$N$5:$N$204,"VENCE NA JANELA")))</x:f>
      </x:c>
      <x:c r="N123" s="173" t="str">
        <x:f>IF(A123="","",IF(OR(P123&lt;&gt;"",COUNTIFS(Lotes!$B$5:$B$204,A123,Lotes!$U$5:$U$204,1)&gt;0,Listas!$B$13&lt;&gt;"OK"),"REVISAR DADOS",IF(H123="Inativo","INATIVO",IF(Q123&lt;=F123,"REPOR","OK"))))</x:f>
      </x:c>
      <x:c r="O123" s="27"/>
      <x:c r="P123" s="163" t="str">
        <x:f>IF(COUNTA(A123:H123,O123)=0,"",IF(OR(A123="",COUNTIFS($A$5:$A$204,A123)&lt;&gt;1),"SKU ausente ou duplicado",IF(OR(B123="",D123=""),"Produto ou unidade ausente",IF(OR(NOT(ISNUMBER(F123)),F123&lt;0,NOT(ISNUMBER(G123)),G123&lt;0),"Mínimo ou custo inválido",IF(AND(H123&lt;&gt;"Ativo",H123&lt;&gt;"Inativo"),"Status de produto inválido","")))))</x:f>
      </x:c>
      <x:c r="Q123" s="163" t="str">
        <x:f>IF(A123="","",IF(OR(P123&lt;&gt;"",COUNTIFS(Lotes!$B$5:$B$204,A123,Lotes!$U$5:$U$204,1)&gt;0,Listas!$B$13&lt;&gt;"OK"),"n.a.",SUMIFS(Lotes!$V$5:$V$204,Lotes!$B$5:$B$204,A123)))</x:f>
      </x:c>
      <x:c r="R123" s="163" t="n">
        <x:f>IF(P123="",0,1)</x:f>
        <x:v>0</x:v>
      </x:c>
      <x:c r="S123" s="163" t="n">
        <x:f>IF(COUNTA(A123:H123,O123)=0,0,IF(OR(Listas!$B$19="Todos",A123=Listas!$B$19,A123=""),1,0))</x:f>
        <x:v>0</x:v>
      </x:c>
      <x:c r="T123" s="163" t="n">
        <x:f>IF(S123=1,COUNTIFS($S$5:S123,1),0)</x:f>
        <x:v>0</x:v>
      </x:c>
      <x:c r="U123" s="1"/>
      <x:c r="V123" s="1"/>
      <x:c r="W123" s="1"/>
    </x:row>
    <x:row r="124" ht="32" customHeight="1">
      <x:c r="A124" s="170"/>
      <x:c r="B124" s="170"/>
      <x:c r="C124" s="170"/>
      <x:c r="D124" s="170"/>
      <x:c r="E124" s="170"/>
      <x:c r="F124" s="171"/>
      <x:c r="G124" s="172"/>
      <x:c r="H124" s="170"/>
      <x:c r="I124" s="173" t="str">
        <x:f>IF(A124="","",IF(OR(P124&lt;&gt;"",COUNTIFS(Lotes!$B$5:$B$204,A124,Lotes!$U$5:$U$204,1)&gt;0,Listas!$B$13&lt;&gt;"OK"),"n.a.",SUMIFS(Lotes!$J$5:$J$204,Lotes!$B$5:$B$204,A124)))</x:f>
      </x:c>
      <x:c r="J124" s="174" t="str">
        <x:f>IF(A124="","",IF(OR(P124&lt;&gt;"",COUNTIFS(Lotes!$B$5:$B$204,A124,Lotes!$U$5:$U$204,1)&gt;0,Listas!$B$13&lt;&gt;"OK"),"n.a.",SUMIFS(Lotes!$L$5:$L$204,Lotes!$B$5:$B$204,A124)))</x:f>
      </x:c>
      <x:c r="K124" s="173" t="str">
        <x:f>IF(A124="","",IF(OR(P124&lt;&gt;"",COUNTIFS(Lotes!$B$5:$B$204,A124,Lotes!$U$5:$U$204,1)&gt;0,Listas!$B$13&lt;&gt;"OK"),"n.a.",COUNTIFS(Lotes!$B$5:$B$204,A124,Lotes!$J$5:$J$204,"&gt;0")))</x:f>
      </x:c>
      <x:c r="L124" s="173" t="str">
        <x:f>IF(A124="","",IF(OR(P124&lt;&gt;"",COUNTIFS(Lotes!$B$5:$B$204,A124,Lotes!$U$5:$U$204,1)&gt;0,Listas!$B$13&lt;&gt;"OK"),"n.a.",COUNTIFS(Lotes!$B$5:$B$204,A124,Lotes!$J$5:$J$204,"&gt;0",Lotes!$N$5:$N$204,"VENCIDO")))</x:f>
      </x:c>
      <x:c r="M124" s="173" t="str">
        <x:f>IF(A124="","",IF(OR(P124&lt;&gt;"",COUNTIFS(Lotes!$B$5:$B$204,A124,Lotes!$U$5:$U$204,1)&gt;0,Listas!$B$13&lt;&gt;"OK"),"n.a.",COUNTIFS(Lotes!$B$5:$B$204,A124,Lotes!$J$5:$J$204,"&gt;0",Lotes!$N$5:$N$204,"CRÍTICO")+COUNTIFS(Lotes!$B$5:$B$204,A124,Lotes!$J$5:$J$204,"&gt;0",Lotes!$N$5:$N$204,"VENCE NA JANELA")))</x:f>
      </x:c>
      <x:c r="N124" s="173" t="str">
        <x:f>IF(A124="","",IF(OR(P124&lt;&gt;"",COUNTIFS(Lotes!$B$5:$B$204,A124,Lotes!$U$5:$U$204,1)&gt;0,Listas!$B$13&lt;&gt;"OK"),"REVISAR DADOS",IF(H124="Inativo","INATIVO",IF(Q124&lt;=F124,"REPOR","OK"))))</x:f>
      </x:c>
      <x:c r="O124" s="27"/>
      <x:c r="P124" s="163" t="str">
        <x:f>IF(COUNTA(A124:H124,O124)=0,"",IF(OR(A124="",COUNTIFS($A$5:$A$204,A124)&lt;&gt;1),"SKU ausente ou duplicado",IF(OR(B124="",D124=""),"Produto ou unidade ausente",IF(OR(NOT(ISNUMBER(F124)),F124&lt;0,NOT(ISNUMBER(G124)),G124&lt;0),"Mínimo ou custo inválido",IF(AND(H124&lt;&gt;"Ativo",H124&lt;&gt;"Inativo"),"Status de produto inválido","")))))</x:f>
      </x:c>
      <x:c r="Q124" s="163" t="str">
        <x:f>IF(A124="","",IF(OR(P124&lt;&gt;"",COUNTIFS(Lotes!$B$5:$B$204,A124,Lotes!$U$5:$U$204,1)&gt;0,Listas!$B$13&lt;&gt;"OK"),"n.a.",SUMIFS(Lotes!$V$5:$V$204,Lotes!$B$5:$B$204,A124)))</x:f>
      </x:c>
      <x:c r="R124" s="163" t="n">
        <x:f>IF(P124="",0,1)</x:f>
        <x:v>0</x:v>
      </x:c>
      <x:c r="S124" s="163" t="n">
        <x:f>IF(COUNTA(A124:H124,O124)=0,0,IF(OR(Listas!$B$19="Todos",A124=Listas!$B$19,A124=""),1,0))</x:f>
        <x:v>0</x:v>
      </x:c>
      <x:c r="T124" s="163" t="n">
        <x:f>IF(S124=1,COUNTIFS($S$5:S124,1),0)</x:f>
        <x:v>0</x:v>
      </x:c>
      <x:c r="U124" s="1"/>
      <x:c r="V124" s="1"/>
      <x:c r="W124" s="1"/>
    </x:row>
    <x:row r="125" ht="32" customHeight="1">
      <x:c r="A125" s="170"/>
      <x:c r="B125" s="170"/>
      <x:c r="C125" s="170"/>
      <x:c r="D125" s="170"/>
      <x:c r="E125" s="170"/>
      <x:c r="F125" s="171"/>
      <x:c r="G125" s="172"/>
      <x:c r="H125" s="170"/>
      <x:c r="I125" s="173" t="str">
        <x:f>IF(A125="","",IF(OR(P125&lt;&gt;"",COUNTIFS(Lotes!$B$5:$B$204,A125,Lotes!$U$5:$U$204,1)&gt;0,Listas!$B$13&lt;&gt;"OK"),"n.a.",SUMIFS(Lotes!$J$5:$J$204,Lotes!$B$5:$B$204,A125)))</x:f>
      </x:c>
      <x:c r="J125" s="174" t="str">
        <x:f>IF(A125="","",IF(OR(P125&lt;&gt;"",COUNTIFS(Lotes!$B$5:$B$204,A125,Lotes!$U$5:$U$204,1)&gt;0,Listas!$B$13&lt;&gt;"OK"),"n.a.",SUMIFS(Lotes!$L$5:$L$204,Lotes!$B$5:$B$204,A125)))</x:f>
      </x:c>
      <x:c r="K125" s="173" t="str">
        <x:f>IF(A125="","",IF(OR(P125&lt;&gt;"",COUNTIFS(Lotes!$B$5:$B$204,A125,Lotes!$U$5:$U$204,1)&gt;0,Listas!$B$13&lt;&gt;"OK"),"n.a.",COUNTIFS(Lotes!$B$5:$B$204,A125,Lotes!$J$5:$J$204,"&gt;0")))</x:f>
      </x:c>
      <x:c r="L125" s="173" t="str">
        <x:f>IF(A125="","",IF(OR(P125&lt;&gt;"",COUNTIFS(Lotes!$B$5:$B$204,A125,Lotes!$U$5:$U$204,1)&gt;0,Listas!$B$13&lt;&gt;"OK"),"n.a.",COUNTIFS(Lotes!$B$5:$B$204,A125,Lotes!$J$5:$J$204,"&gt;0",Lotes!$N$5:$N$204,"VENCIDO")))</x:f>
      </x:c>
      <x:c r="M125" s="173" t="str">
        <x:f>IF(A125="","",IF(OR(P125&lt;&gt;"",COUNTIFS(Lotes!$B$5:$B$204,A125,Lotes!$U$5:$U$204,1)&gt;0,Listas!$B$13&lt;&gt;"OK"),"n.a.",COUNTIFS(Lotes!$B$5:$B$204,A125,Lotes!$J$5:$J$204,"&gt;0",Lotes!$N$5:$N$204,"CRÍTICO")+COUNTIFS(Lotes!$B$5:$B$204,A125,Lotes!$J$5:$J$204,"&gt;0",Lotes!$N$5:$N$204,"VENCE NA JANELA")))</x:f>
      </x:c>
      <x:c r="N125" s="173" t="str">
        <x:f>IF(A125="","",IF(OR(P125&lt;&gt;"",COUNTIFS(Lotes!$B$5:$B$204,A125,Lotes!$U$5:$U$204,1)&gt;0,Listas!$B$13&lt;&gt;"OK"),"REVISAR DADOS",IF(H125="Inativo","INATIVO",IF(Q125&lt;=F125,"REPOR","OK"))))</x:f>
      </x:c>
      <x:c r="O125" s="27"/>
      <x:c r="P125" s="163" t="str">
        <x:f>IF(COUNTA(A125:H125,O125)=0,"",IF(OR(A125="",COUNTIFS($A$5:$A$204,A125)&lt;&gt;1),"SKU ausente ou duplicado",IF(OR(B125="",D125=""),"Produto ou unidade ausente",IF(OR(NOT(ISNUMBER(F125)),F125&lt;0,NOT(ISNUMBER(G125)),G125&lt;0),"Mínimo ou custo inválido",IF(AND(H125&lt;&gt;"Ativo",H125&lt;&gt;"Inativo"),"Status de produto inválido","")))))</x:f>
      </x:c>
      <x:c r="Q125" s="163" t="str">
        <x:f>IF(A125="","",IF(OR(P125&lt;&gt;"",COUNTIFS(Lotes!$B$5:$B$204,A125,Lotes!$U$5:$U$204,1)&gt;0,Listas!$B$13&lt;&gt;"OK"),"n.a.",SUMIFS(Lotes!$V$5:$V$204,Lotes!$B$5:$B$204,A125)))</x:f>
      </x:c>
      <x:c r="R125" s="163" t="n">
        <x:f>IF(P125="",0,1)</x:f>
        <x:v>0</x:v>
      </x:c>
      <x:c r="S125" s="163" t="n">
        <x:f>IF(COUNTA(A125:H125,O125)=0,0,IF(OR(Listas!$B$19="Todos",A125=Listas!$B$19,A125=""),1,0))</x:f>
        <x:v>0</x:v>
      </x:c>
      <x:c r="T125" s="163" t="n">
        <x:f>IF(S125=1,COUNTIFS($S$5:S125,1),0)</x:f>
        <x:v>0</x:v>
      </x:c>
      <x:c r="U125" s="1"/>
      <x:c r="V125" s="1"/>
      <x:c r="W125" s="1"/>
    </x:row>
    <x:row r="126" ht="32" customHeight="1">
      <x:c r="A126" s="170"/>
      <x:c r="B126" s="170"/>
      <x:c r="C126" s="170"/>
      <x:c r="D126" s="170"/>
      <x:c r="E126" s="170"/>
      <x:c r="F126" s="171"/>
      <x:c r="G126" s="172"/>
      <x:c r="H126" s="170"/>
      <x:c r="I126" s="173" t="str">
        <x:f>IF(A126="","",IF(OR(P126&lt;&gt;"",COUNTIFS(Lotes!$B$5:$B$204,A126,Lotes!$U$5:$U$204,1)&gt;0,Listas!$B$13&lt;&gt;"OK"),"n.a.",SUMIFS(Lotes!$J$5:$J$204,Lotes!$B$5:$B$204,A126)))</x:f>
      </x:c>
      <x:c r="J126" s="174" t="str">
        <x:f>IF(A126="","",IF(OR(P126&lt;&gt;"",COUNTIFS(Lotes!$B$5:$B$204,A126,Lotes!$U$5:$U$204,1)&gt;0,Listas!$B$13&lt;&gt;"OK"),"n.a.",SUMIFS(Lotes!$L$5:$L$204,Lotes!$B$5:$B$204,A126)))</x:f>
      </x:c>
      <x:c r="K126" s="173" t="str">
        <x:f>IF(A126="","",IF(OR(P126&lt;&gt;"",COUNTIFS(Lotes!$B$5:$B$204,A126,Lotes!$U$5:$U$204,1)&gt;0,Listas!$B$13&lt;&gt;"OK"),"n.a.",COUNTIFS(Lotes!$B$5:$B$204,A126,Lotes!$J$5:$J$204,"&gt;0")))</x:f>
      </x:c>
      <x:c r="L126" s="173" t="str">
        <x:f>IF(A126="","",IF(OR(P126&lt;&gt;"",COUNTIFS(Lotes!$B$5:$B$204,A126,Lotes!$U$5:$U$204,1)&gt;0,Listas!$B$13&lt;&gt;"OK"),"n.a.",COUNTIFS(Lotes!$B$5:$B$204,A126,Lotes!$J$5:$J$204,"&gt;0",Lotes!$N$5:$N$204,"VENCIDO")))</x:f>
      </x:c>
      <x:c r="M126" s="173" t="str">
        <x:f>IF(A126="","",IF(OR(P126&lt;&gt;"",COUNTIFS(Lotes!$B$5:$B$204,A126,Lotes!$U$5:$U$204,1)&gt;0,Listas!$B$13&lt;&gt;"OK"),"n.a.",COUNTIFS(Lotes!$B$5:$B$204,A126,Lotes!$J$5:$J$204,"&gt;0",Lotes!$N$5:$N$204,"CRÍTICO")+COUNTIFS(Lotes!$B$5:$B$204,A126,Lotes!$J$5:$J$204,"&gt;0",Lotes!$N$5:$N$204,"VENCE NA JANELA")))</x:f>
      </x:c>
      <x:c r="N126" s="173" t="str">
        <x:f>IF(A126="","",IF(OR(P126&lt;&gt;"",COUNTIFS(Lotes!$B$5:$B$204,A126,Lotes!$U$5:$U$204,1)&gt;0,Listas!$B$13&lt;&gt;"OK"),"REVISAR DADOS",IF(H126="Inativo","INATIVO",IF(Q126&lt;=F126,"REPOR","OK"))))</x:f>
      </x:c>
      <x:c r="O126" s="27"/>
      <x:c r="P126" s="163" t="str">
        <x:f>IF(COUNTA(A126:H126,O126)=0,"",IF(OR(A126="",COUNTIFS($A$5:$A$204,A126)&lt;&gt;1),"SKU ausente ou duplicado",IF(OR(B126="",D126=""),"Produto ou unidade ausente",IF(OR(NOT(ISNUMBER(F126)),F126&lt;0,NOT(ISNUMBER(G126)),G126&lt;0),"Mínimo ou custo inválido",IF(AND(H126&lt;&gt;"Ativo",H126&lt;&gt;"Inativo"),"Status de produto inválido","")))))</x:f>
      </x:c>
      <x:c r="Q126" s="163" t="str">
        <x:f>IF(A126="","",IF(OR(P126&lt;&gt;"",COUNTIFS(Lotes!$B$5:$B$204,A126,Lotes!$U$5:$U$204,1)&gt;0,Listas!$B$13&lt;&gt;"OK"),"n.a.",SUMIFS(Lotes!$V$5:$V$204,Lotes!$B$5:$B$204,A126)))</x:f>
      </x:c>
      <x:c r="R126" s="163" t="n">
        <x:f>IF(P126="",0,1)</x:f>
        <x:v>0</x:v>
      </x:c>
      <x:c r="S126" s="163" t="n">
        <x:f>IF(COUNTA(A126:H126,O126)=0,0,IF(OR(Listas!$B$19="Todos",A126=Listas!$B$19,A126=""),1,0))</x:f>
        <x:v>0</x:v>
      </x:c>
      <x:c r="T126" s="163" t="n">
        <x:f>IF(S126=1,COUNTIFS($S$5:S126,1),0)</x:f>
        <x:v>0</x:v>
      </x:c>
      <x:c r="U126" s="1"/>
      <x:c r="V126" s="1"/>
      <x:c r="W126" s="1"/>
    </x:row>
    <x:row r="127" ht="32" customHeight="1">
      <x:c r="A127" s="170"/>
      <x:c r="B127" s="170"/>
      <x:c r="C127" s="170"/>
      <x:c r="D127" s="170"/>
      <x:c r="E127" s="170"/>
      <x:c r="F127" s="171"/>
      <x:c r="G127" s="172"/>
      <x:c r="H127" s="170"/>
      <x:c r="I127" s="173" t="str">
        <x:f>IF(A127="","",IF(OR(P127&lt;&gt;"",COUNTIFS(Lotes!$B$5:$B$204,A127,Lotes!$U$5:$U$204,1)&gt;0,Listas!$B$13&lt;&gt;"OK"),"n.a.",SUMIFS(Lotes!$J$5:$J$204,Lotes!$B$5:$B$204,A127)))</x:f>
      </x:c>
      <x:c r="J127" s="174" t="str">
        <x:f>IF(A127="","",IF(OR(P127&lt;&gt;"",COUNTIFS(Lotes!$B$5:$B$204,A127,Lotes!$U$5:$U$204,1)&gt;0,Listas!$B$13&lt;&gt;"OK"),"n.a.",SUMIFS(Lotes!$L$5:$L$204,Lotes!$B$5:$B$204,A127)))</x:f>
      </x:c>
      <x:c r="K127" s="173" t="str">
        <x:f>IF(A127="","",IF(OR(P127&lt;&gt;"",COUNTIFS(Lotes!$B$5:$B$204,A127,Lotes!$U$5:$U$204,1)&gt;0,Listas!$B$13&lt;&gt;"OK"),"n.a.",COUNTIFS(Lotes!$B$5:$B$204,A127,Lotes!$J$5:$J$204,"&gt;0")))</x:f>
      </x:c>
      <x:c r="L127" s="173" t="str">
        <x:f>IF(A127="","",IF(OR(P127&lt;&gt;"",COUNTIFS(Lotes!$B$5:$B$204,A127,Lotes!$U$5:$U$204,1)&gt;0,Listas!$B$13&lt;&gt;"OK"),"n.a.",COUNTIFS(Lotes!$B$5:$B$204,A127,Lotes!$J$5:$J$204,"&gt;0",Lotes!$N$5:$N$204,"VENCIDO")))</x:f>
      </x:c>
      <x:c r="M127" s="173" t="str">
        <x:f>IF(A127="","",IF(OR(P127&lt;&gt;"",COUNTIFS(Lotes!$B$5:$B$204,A127,Lotes!$U$5:$U$204,1)&gt;0,Listas!$B$13&lt;&gt;"OK"),"n.a.",COUNTIFS(Lotes!$B$5:$B$204,A127,Lotes!$J$5:$J$204,"&gt;0",Lotes!$N$5:$N$204,"CRÍTICO")+COUNTIFS(Lotes!$B$5:$B$204,A127,Lotes!$J$5:$J$204,"&gt;0",Lotes!$N$5:$N$204,"VENCE NA JANELA")))</x:f>
      </x:c>
      <x:c r="N127" s="173" t="str">
        <x:f>IF(A127="","",IF(OR(P127&lt;&gt;"",COUNTIFS(Lotes!$B$5:$B$204,A127,Lotes!$U$5:$U$204,1)&gt;0,Listas!$B$13&lt;&gt;"OK"),"REVISAR DADOS",IF(H127="Inativo","INATIVO",IF(Q127&lt;=F127,"REPOR","OK"))))</x:f>
      </x:c>
      <x:c r="O127" s="27"/>
      <x:c r="P127" s="163" t="str">
        <x:f>IF(COUNTA(A127:H127,O127)=0,"",IF(OR(A127="",COUNTIFS($A$5:$A$204,A127)&lt;&gt;1),"SKU ausente ou duplicado",IF(OR(B127="",D127=""),"Produto ou unidade ausente",IF(OR(NOT(ISNUMBER(F127)),F127&lt;0,NOT(ISNUMBER(G127)),G127&lt;0),"Mínimo ou custo inválido",IF(AND(H127&lt;&gt;"Ativo",H127&lt;&gt;"Inativo"),"Status de produto inválido","")))))</x:f>
      </x:c>
      <x:c r="Q127" s="163" t="str">
        <x:f>IF(A127="","",IF(OR(P127&lt;&gt;"",COUNTIFS(Lotes!$B$5:$B$204,A127,Lotes!$U$5:$U$204,1)&gt;0,Listas!$B$13&lt;&gt;"OK"),"n.a.",SUMIFS(Lotes!$V$5:$V$204,Lotes!$B$5:$B$204,A127)))</x:f>
      </x:c>
      <x:c r="R127" s="163" t="n">
        <x:f>IF(P127="",0,1)</x:f>
        <x:v>0</x:v>
      </x:c>
      <x:c r="S127" s="163" t="n">
        <x:f>IF(COUNTA(A127:H127,O127)=0,0,IF(OR(Listas!$B$19="Todos",A127=Listas!$B$19,A127=""),1,0))</x:f>
        <x:v>0</x:v>
      </x:c>
      <x:c r="T127" s="163" t="n">
        <x:f>IF(S127=1,COUNTIFS($S$5:S127,1),0)</x:f>
        <x:v>0</x:v>
      </x:c>
      <x:c r="U127" s="1"/>
      <x:c r="V127" s="1"/>
      <x:c r="W127" s="1"/>
    </x:row>
    <x:row r="128" ht="32" customHeight="1">
      <x:c r="A128" s="170"/>
      <x:c r="B128" s="170"/>
      <x:c r="C128" s="170"/>
      <x:c r="D128" s="170"/>
      <x:c r="E128" s="170"/>
      <x:c r="F128" s="171"/>
      <x:c r="G128" s="172"/>
      <x:c r="H128" s="170"/>
      <x:c r="I128" s="173" t="str">
        <x:f>IF(A128="","",IF(OR(P128&lt;&gt;"",COUNTIFS(Lotes!$B$5:$B$204,A128,Lotes!$U$5:$U$204,1)&gt;0,Listas!$B$13&lt;&gt;"OK"),"n.a.",SUMIFS(Lotes!$J$5:$J$204,Lotes!$B$5:$B$204,A128)))</x:f>
      </x:c>
      <x:c r="J128" s="174" t="str">
        <x:f>IF(A128="","",IF(OR(P128&lt;&gt;"",COUNTIFS(Lotes!$B$5:$B$204,A128,Lotes!$U$5:$U$204,1)&gt;0,Listas!$B$13&lt;&gt;"OK"),"n.a.",SUMIFS(Lotes!$L$5:$L$204,Lotes!$B$5:$B$204,A128)))</x:f>
      </x:c>
      <x:c r="K128" s="173" t="str">
        <x:f>IF(A128="","",IF(OR(P128&lt;&gt;"",COUNTIFS(Lotes!$B$5:$B$204,A128,Lotes!$U$5:$U$204,1)&gt;0,Listas!$B$13&lt;&gt;"OK"),"n.a.",COUNTIFS(Lotes!$B$5:$B$204,A128,Lotes!$J$5:$J$204,"&gt;0")))</x:f>
      </x:c>
      <x:c r="L128" s="173" t="str">
        <x:f>IF(A128="","",IF(OR(P128&lt;&gt;"",COUNTIFS(Lotes!$B$5:$B$204,A128,Lotes!$U$5:$U$204,1)&gt;0,Listas!$B$13&lt;&gt;"OK"),"n.a.",COUNTIFS(Lotes!$B$5:$B$204,A128,Lotes!$J$5:$J$204,"&gt;0",Lotes!$N$5:$N$204,"VENCIDO")))</x:f>
      </x:c>
      <x:c r="M128" s="173" t="str">
        <x:f>IF(A128="","",IF(OR(P128&lt;&gt;"",COUNTIFS(Lotes!$B$5:$B$204,A128,Lotes!$U$5:$U$204,1)&gt;0,Listas!$B$13&lt;&gt;"OK"),"n.a.",COUNTIFS(Lotes!$B$5:$B$204,A128,Lotes!$J$5:$J$204,"&gt;0",Lotes!$N$5:$N$204,"CRÍTICO")+COUNTIFS(Lotes!$B$5:$B$204,A128,Lotes!$J$5:$J$204,"&gt;0",Lotes!$N$5:$N$204,"VENCE NA JANELA")))</x:f>
      </x:c>
      <x:c r="N128" s="173" t="str">
        <x:f>IF(A128="","",IF(OR(P128&lt;&gt;"",COUNTIFS(Lotes!$B$5:$B$204,A128,Lotes!$U$5:$U$204,1)&gt;0,Listas!$B$13&lt;&gt;"OK"),"REVISAR DADOS",IF(H128="Inativo","INATIVO",IF(Q128&lt;=F128,"REPOR","OK"))))</x:f>
      </x:c>
      <x:c r="O128" s="27"/>
      <x:c r="P128" s="163" t="str">
        <x:f>IF(COUNTA(A128:H128,O128)=0,"",IF(OR(A128="",COUNTIFS($A$5:$A$204,A128)&lt;&gt;1),"SKU ausente ou duplicado",IF(OR(B128="",D128=""),"Produto ou unidade ausente",IF(OR(NOT(ISNUMBER(F128)),F128&lt;0,NOT(ISNUMBER(G128)),G128&lt;0),"Mínimo ou custo inválido",IF(AND(H128&lt;&gt;"Ativo",H128&lt;&gt;"Inativo"),"Status de produto inválido","")))))</x:f>
      </x:c>
      <x:c r="Q128" s="163" t="str">
        <x:f>IF(A128="","",IF(OR(P128&lt;&gt;"",COUNTIFS(Lotes!$B$5:$B$204,A128,Lotes!$U$5:$U$204,1)&gt;0,Listas!$B$13&lt;&gt;"OK"),"n.a.",SUMIFS(Lotes!$V$5:$V$204,Lotes!$B$5:$B$204,A128)))</x:f>
      </x:c>
      <x:c r="R128" s="163" t="n">
        <x:f>IF(P128="",0,1)</x:f>
        <x:v>0</x:v>
      </x:c>
      <x:c r="S128" s="163" t="n">
        <x:f>IF(COUNTA(A128:H128,O128)=0,0,IF(OR(Listas!$B$19="Todos",A128=Listas!$B$19,A128=""),1,0))</x:f>
        <x:v>0</x:v>
      </x:c>
      <x:c r="T128" s="163" t="n">
        <x:f>IF(S128=1,COUNTIFS($S$5:S128,1),0)</x:f>
        <x:v>0</x:v>
      </x:c>
      <x:c r="U128" s="1"/>
      <x:c r="V128" s="1"/>
      <x:c r="W128" s="1"/>
    </x:row>
    <x:row r="129" ht="32" customHeight="1">
      <x:c r="A129" s="170"/>
      <x:c r="B129" s="170"/>
      <x:c r="C129" s="170"/>
      <x:c r="D129" s="170"/>
      <x:c r="E129" s="170"/>
      <x:c r="F129" s="171"/>
      <x:c r="G129" s="172"/>
      <x:c r="H129" s="170"/>
      <x:c r="I129" s="173" t="str">
        <x:f>IF(A129="","",IF(OR(P129&lt;&gt;"",COUNTIFS(Lotes!$B$5:$B$204,A129,Lotes!$U$5:$U$204,1)&gt;0,Listas!$B$13&lt;&gt;"OK"),"n.a.",SUMIFS(Lotes!$J$5:$J$204,Lotes!$B$5:$B$204,A129)))</x:f>
      </x:c>
      <x:c r="J129" s="174" t="str">
        <x:f>IF(A129="","",IF(OR(P129&lt;&gt;"",COUNTIFS(Lotes!$B$5:$B$204,A129,Lotes!$U$5:$U$204,1)&gt;0,Listas!$B$13&lt;&gt;"OK"),"n.a.",SUMIFS(Lotes!$L$5:$L$204,Lotes!$B$5:$B$204,A129)))</x:f>
      </x:c>
      <x:c r="K129" s="173" t="str">
        <x:f>IF(A129="","",IF(OR(P129&lt;&gt;"",COUNTIFS(Lotes!$B$5:$B$204,A129,Lotes!$U$5:$U$204,1)&gt;0,Listas!$B$13&lt;&gt;"OK"),"n.a.",COUNTIFS(Lotes!$B$5:$B$204,A129,Lotes!$J$5:$J$204,"&gt;0")))</x:f>
      </x:c>
      <x:c r="L129" s="173" t="str">
        <x:f>IF(A129="","",IF(OR(P129&lt;&gt;"",COUNTIFS(Lotes!$B$5:$B$204,A129,Lotes!$U$5:$U$204,1)&gt;0,Listas!$B$13&lt;&gt;"OK"),"n.a.",COUNTIFS(Lotes!$B$5:$B$204,A129,Lotes!$J$5:$J$204,"&gt;0",Lotes!$N$5:$N$204,"VENCIDO")))</x:f>
      </x:c>
      <x:c r="M129" s="173" t="str">
        <x:f>IF(A129="","",IF(OR(P129&lt;&gt;"",COUNTIFS(Lotes!$B$5:$B$204,A129,Lotes!$U$5:$U$204,1)&gt;0,Listas!$B$13&lt;&gt;"OK"),"n.a.",COUNTIFS(Lotes!$B$5:$B$204,A129,Lotes!$J$5:$J$204,"&gt;0",Lotes!$N$5:$N$204,"CRÍTICO")+COUNTIFS(Lotes!$B$5:$B$204,A129,Lotes!$J$5:$J$204,"&gt;0",Lotes!$N$5:$N$204,"VENCE NA JANELA")))</x:f>
      </x:c>
      <x:c r="N129" s="173" t="str">
        <x:f>IF(A129="","",IF(OR(P129&lt;&gt;"",COUNTIFS(Lotes!$B$5:$B$204,A129,Lotes!$U$5:$U$204,1)&gt;0,Listas!$B$13&lt;&gt;"OK"),"REVISAR DADOS",IF(H129="Inativo","INATIVO",IF(Q129&lt;=F129,"REPOR","OK"))))</x:f>
      </x:c>
      <x:c r="O129" s="27"/>
      <x:c r="P129" s="163" t="str">
        <x:f>IF(COUNTA(A129:H129,O129)=0,"",IF(OR(A129="",COUNTIFS($A$5:$A$204,A129)&lt;&gt;1),"SKU ausente ou duplicado",IF(OR(B129="",D129=""),"Produto ou unidade ausente",IF(OR(NOT(ISNUMBER(F129)),F129&lt;0,NOT(ISNUMBER(G129)),G129&lt;0),"Mínimo ou custo inválido",IF(AND(H129&lt;&gt;"Ativo",H129&lt;&gt;"Inativo"),"Status de produto inválido","")))))</x:f>
      </x:c>
      <x:c r="Q129" s="163" t="str">
        <x:f>IF(A129="","",IF(OR(P129&lt;&gt;"",COUNTIFS(Lotes!$B$5:$B$204,A129,Lotes!$U$5:$U$204,1)&gt;0,Listas!$B$13&lt;&gt;"OK"),"n.a.",SUMIFS(Lotes!$V$5:$V$204,Lotes!$B$5:$B$204,A129)))</x:f>
      </x:c>
      <x:c r="R129" s="163" t="n">
        <x:f>IF(P129="",0,1)</x:f>
        <x:v>0</x:v>
      </x:c>
      <x:c r="S129" s="163" t="n">
        <x:f>IF(COUNTA(A129:H129,O129)=0,0,IF(OR(Listas!$B$19="Todos",A129=Listas!$B$19,A129=""),1,0))</x:f>
        <x:v>0</x:v>
      </x:c>
      <x:c r="T129" s="163" t="n">
        <x:f>IF(S129=1,COUNTIFS($S$5:S129,1),0)</x:f>
        <x:v>0</x:v>
      </x:c>
      <x:c r="U129" s="1"/>
      <x:c r="V129" s="1"/>
      <x:c r="W129" s="1"/>
    </x:row>
    <x:row r="130" ht="32" customHeight="1">
      <x:c r="A130" s="170"/>
      <x:c r="B130" s="170"/>
      <x:c r="C130" s="170"/>
      <x:c r="D130" s="170"/>
      <x:c r="E130" s="170"/>
      <x:c r="F130" s="171"/>
      <x:c r="G130" s="172"/>
      <x:c r="H130" s="170"/>
      <x:c r="I130" s="173" t="str">
        <x:f>IF(A130="","",IF(OR(P130&lt;&gt;"",COUNTIFS(Lotes!$B$5:$B$204,A130,Lotes!$U$5:$U$204,1)&gt;0,Listas!$B$13&lt;&gt;"OK"),"n.a.",SUMIFS(Lotes!$J$5:$J$204,Lotes!$B$5:$B$204,A130)))</x:f>
      </x:c>
      <x:c r="J130" s="174" t="str">
        <x:f>IF(A130="","",IF(OR(P130&lt;&gt;"",COUNTIFS(Lotes!$B$5:$B$204,A130,Lotes!$U$5:$U$204,1)&gt;0,Listas!$B$13&lt;&gt;"OK"),"n.a.",SUMIFS(Lotes!$L$5:$L$204,Lotes!$B$5:$B$204,A130)))</x:f>
      </x:c>
      <x:c r="K130" s="173" t="str">
        <x:f>IF(A130="","",IF(OR(P130&lt;&gt;"",COUNTIFS(Lotes!$B$5:$B$204,A130,Lotes!$U$5:$U$204,1)&gt;0,Listas!$B$13&lt;&gt;"OK"),"n.a.",COUNTIFS(Lotes!$B$5:$B$204,A130,Lotes!$J$5:$J$204,"&gt;0")))</x:f>
      </x:c>
      <x:c r="L130" s="173" t="str">
        <x:f>IF(A130="","",IF(OR(P130&lt;&gt;"",COUNTIFS(Lotes!$B$5:$B$204,A130,Lotes!$U$5:$U$204,1)&gt;0,Listas!$B$13&lt;&gt;"OK"),"n.a.",COUNTIFS(Lotes!$B$5:$B$204,A130,Lotes!$J$5:$J$204,"&gt;0",Lotes!$N$5:$N$204,"VENCIDO")))</x:f>
      </x:c>
      <x:c r="M130" s="173" t="str">
        <x:f>IF(A130="","",IF(OR(P130&lt;&gt;"",COUNTIFS(Lotes!$B$5:$B$204,A130,Lotes!$U$5:$U$204,1)&gt;0,Listas!$B$13&lt;&gt;"OK"),"n.a.",COUNTIFS(Lotes!$B$5:$B$204,A130,Lotes!$J$5:$J$204,"&gt;0",Lotes!$N$5:$N$204,"CRÍTICO")+COUNTIFS(Lotes!$B$5:$B$204,A130,Lotes!$J$5:$J$204,"&gt;0",Lotes!$N$5:$N$204,"VENCE NA JANELA")))</x:f>
      </x:c>
      <x:c r="N130" s="173" t="str">
        <x:f>IF(A130="","",IF(OR(P130&lt;&gt;"",COUNTIFS(Lotes!$B$5:$B$204,A130,Lotes!$U$5:$U$204,1)&gt;0,Listas!$B$13&lt;&gt;"OK"),"REVISAR DADOS",IF(H130="Inativo","INATIVO",IF(Q130&lt;=F130,"REPOR","OK"))))</x:f>
      </x:c>
      <x:c r="O130" s="27"/>
      <x:c r="P130" s="163" t="str">
        <x:f>IF(COUNTA(A130:H130,O130)=0,"",IF(OR(A130="",COUNTIFS($A$5:$A$204,A130)&lt;&gt;1),"SKU ausente ou duplicado",IF(OR(B130="",D130=""),"Produto ou unidade ausente",IF(OR(NOT(ISNUMBER(F130)),F130&lt;0,NOT(ISNUMBER(G130)),G130&lt;0),"Mínimo ou custo inválido",IF(AND(H130&lt;&gt;"Ativo",H130&lt;&gt;"Inativo"),"Status de produto inválido","")))))</x:f>
      </x:c>
      <x:c r="Q130" s="163" t="str">
        <x:f>IF(A130="","",IF(OR(P130&lt;&gt;"",COUNTIFS(Lotes!$B$5:$B$204,A130,Lotes!$U$5:$U$204,1)&gt;0,Listas!$B$13&lt;&gt;"OK"),"n.a.",SUMIFS(Lotes!$V$5:$V$204,Lotes!$B$5:$B$204,A130)))</x:f>
      </x:c>
      <x:c r="R130" s="163" t="n">
        <x:f>IF(P130="",0,1)</x:f>
        <x:v>0</x:v>
      </x:c>
      <x:c r="S130" s="163" t="n">
        <x:f>IF(COUNTA(A130:H130,O130)=0,0,IF(OR(Listas!$B$19="Todos",A130=Listas!$B$19,A130=""),1,0))</x:f>
        <x:v>0</x:v>
      </x:c>
      <x:c r="T130" s="163" t="n">
        <x:f>IF(S130=1,COUNTIFS($S$5:S130,1),0)</x:f>
        <x:v>0</x:v>
      </x:c>
      <x:c r="U130" s="1"/>
      <x:c r="V130" s="1"/>
      <x:c r="W130" s="1"/>
    </x:row>
    <x:row r="131" ht="32" customHeight="1">
      <x:c r="A131" s="170"/>
      <x:c r="B131" s="170"/>
      <x:c r="C131" s="170"/>
      <x:c r="D131" s="170"/>
      <x:c r="E131" s="170"/>
      <x:c r="F131" s="171"/>
      <x:c r="G131" s="172"/>
      <x:c r="H131" s="170"/>
      <x:c r="I131" s="173" t="str">
        <x:f>IF(A131="","",IF(OR(P131&lt;&gt;"",COUNTIFS(Lotes!$B$5:$B$204,A131,Lotes!$U$5:$U$204,1)&gt;0,Listas!$B$13&lt;&gt;"OK"),"n.a.",SUMIFS(Lotes!$J$5:$J$204,Lotes!$B$5:$B$204,A131)))</x:f>
      </x:c>
      <x:c r="J131" s="174" t="str">
        <x:f>IF(A131="","",IF(OR(P131&lt;&gt;"",COUNTIFS(Lotes!$B$5:$B$204,A131,Lotes!$U$5:$U$204,1)&gt;0,Listas!$B$13&lt;&gt;"OK"),"n.a.",SUMIFS(Lotes!$L$5:$L$204,Lotes!$B$5:$B$204,A131)))</x:f>
      </x:c>
      <x:c r="K131" s="173" t="str">
        <x:f>IF(A131="","",IF(OR(P131&lt;&gt;"",COUNTIFS(Lotes!$B$5:$B$204,A131,Lotes!$U$5:$U$204,1)&gt;0,Listas!$B$13&lt;&gt;"OK"),"n.a.",COUNTIFS(Lotes!$B$5:$B$204,A131,Lotes!$J$5:$J$204,"&gt;0")))</x:f>
      </x:c>
      <x:c r="L131" s="173" t="str">
        <x:f>IF(A131="","",IF(OR(P131&lt;&gt;"",COUNTIFS(Lotes!$B$5:$B$204,A131,Lotes!$U$5:$U$204,1)&gt;0,Listas!$B$13&lt;&gt;"OK"),"n.a.",COUNTIFS(Lotes!$B$5:$B$204,A131,Lotes!$J$5:$J$204,"&gt;0",Lotes!$N$5:$N$204,"VENCIDO")))</x:f>
      </x:c>
      <x:c r="M131" s="173" t="str">
        <x:f>IF(A131="","",IF(OR(P131&lt;&gt;"",COUNTIFS(Lotes!$B$5:$B$204,A131,Lotes!$U$5:$U$204,1)&gt;0,Listas!$B$13&lt;&gt;"OK"),"n.a.",COUNTIFS(Lotes!$B$5:$B$204,A131,Lotes!$J$5:$J$204,"&gt;0",Lotes!$N$5:$N$204,"CRÍTICO")+COUNTIFS(Lotes!$B$5:$B$204,A131,Lotes!$J$5:$J$204,"&gt;0",Lotes!$N$5:$N$204,"VENCE NA JANELA")))</x:f>
      </x:c>
      <x:c r="N131" s="173" t="str">
        <x:f>IF(A131="","",IF(OR(P131&lt;&gt;"",COUNTIFS(Lotes!$B$5:$B$204,A131,Lotes!$U$5:$U$204,1)&gt;0,Listas!$B$13&lt;&gt;"OK"),"REVISAR DADOS",IF(H131="Inativo","INATIVO",IF(Q131&lt;=F131,"REPOR","OK"))))</x:f>
      </x:c>
      <x:c r="O131" s="27"/>
      <x:c r="P131" s="163" t="str">
        <x:f>IF(COUNTA(A131:H131,O131)=0,"",IF(OR(A131="",COUNTIFS($A$5:$A$204,A131)&lt;&gt;1),"SKU ausente ou duplicado",IF(OR(B131="",D131=""),"Produto ou unidade ausente",IF(OR(NOT(ISNUMBER(F131)),F131&lt;0,NOT(ISNUMBER(G131)),G131&lt;0),"Mínimo ou custo inválido",IF(AND(H131&lt;&gt;"Ativo",H131&lt;&gt;"Inativo"),"Status de produto inválido","")))))</x:f>
      </x:c>
      <x:c r="Q131" s="163" t="str">
        <x:f>IF(A131="","",IF(OR(P131&lt;&gt;"",COUNTIFS(Lotes!$B$5:$B$204,A131,Lotes!$U$5:$U$204,1)&gt;0,Listas!$B$13&lt;&gt;"OK"),"n.a.",SUMIFS(Lotes!$V$5:$V$204,Lotes!$B$5:$B$204,A131)))</x:f>
      </x:c>
      <x:c r="R131" s="163" t="n">
        <x:f>IF(P131="",0,1)</x:f>
        <x:v>0</x:v>
      </x:c>
      <x:c r="S131" s="163" t="n">
        <x:f>IF(COUNTA(A131:H131,O131)=0,0,IF(OR(Listas!$B$19="Todos",A131=Listas!$B$19,A131=""),1,0))</x:f>
        <x:v>0</x:v>
      </x:c>
      <x:c r="T131" s="163" t="n">
        <x:f>IF(S131=1,COUNTIFS($S$5:S131,1),0)</x:f>
        <x:v>0</x:v>
      </x:c>
      <x:c r="U131" s="1"/>
      <x:c r="V131" s="1"/>
      <x:c r="W131" s="1"/>
    </x:row>
    <x:row r="132" ht="32" customHeight="1">
      <x:c r="A132" s="170"/>
      <x:c r="B132" s="170"/>
      <x:c r="C132" s="170"/>
      <x:c r="D132" s="170"/>
      <x:c r="E132" s="170"/>
      <x:c r="F132" s="171"/>
      <x:c r="G132" s="172"/>
      <x:c r="H132" s="170"/>
      <x:c r="I132" s="173" t="str">
        <x:f>IF(A132="","",IF(OR(P132&lt;&gt;"",COUNTIFS(Lotes!$B$5:$B$204,A132,Lotes!$U$5:$U$204,1)&gt;0,Listas!$B$13&lt;&gt;"OK"),"n.a.",SUMIFS(Lotes!$J$5:$J$204,Lotes!$B$5:$B$204,A132)))</x:f>
      </x:c>
      <x:c r="J132" s="174" t="str">
        <x:f>IF(A132="","",IF(OR(P132&lt;&gt;"",COUNTIFS(Lotes!$B$5:$B$204,A132,Lotes!$U$5:$U$204,1)&gt;0,Listas!$B$13&lt;&gt;"OK"),"n.a.",SUMIFS(Lotes!$L$5:$L$204,Lotes!$B$5:$B$204,A132)))</x:f>
      </x:c>
      <x:c r="K132" s="173" t="str">
        <x:f>IF(A132="","",IF(OR(P132&lt;&gt;"",COUNTIFS(Lotes!$B$5:$B$204,A132,Lotes!$U$5:$U$204,1)&gt;0,Listas!$B$13&lt;&gt;"OK"),"n.a.",COUNTIFS(Lotes!$B$5:$B$204,A132,Lotes!$J$5:$J$204,"&gt;0")))</x:f>
      </x:c>
      <x:c r="L132" s="173" t="str">
        <x:f>IF(A132="","",IF(OR(P132&lt;&gt;"",COUNTIFS(Lotes!$B$5:$B$204,A132,Lotes!$U$5:$U$204,1)&gt;0,Listas!$B$13&lt;&gt;"OK"),"n.a.",COUNTIFS(Lotes!$B$5:$B$204,A132,Lotes!$J$5:$J$204,"&gt;0",Lotes!$N$5:$N$204,"VENCIDO")))</x:f>
      </x:c>
      <x:c r="M132" s="173" t="str">
        <x:f>IF(A132="","",IF(OR(P132&lt;&gt;"",COUNTIFS(Lotes!$B$5:$B$204,A132,Lotes!$U$5:$U$204,1)&gt;0,Listas!$B$13&lt;&gt;"OK"),"n.a.",COUNTIFS(Lotes!$B$5:$B$204,A132,Lotes!$J$5:$J$204,"&gt;0",Lotes!$N$5:$N$204,"CRÍTICO")+COUNTIFS(Lotes!$B$5:$B$204,A132,Lotes!$J$5:$J$204,"&gt;0",Lotes!$N$5:$N$204,"VENCE NA JANELA")))</x:f>
      </x:c>
      <x:c r="N132" s="173" t="str">
        <x:f>IF(A132="","",IF(OR(P132&lt;&gt;"",COUNTIFS(Lotes!$B$5:$B$204,A132,Lotes!$U$5:$U$204,1)&gt;0,Listas!$B$13&lt;&gt;"OK"),"REVISAR DADOS",IF(H132="Inativo","INATIVO",IF(Q132&lt;=F132,"REPOR","OK"))))</x:f>
      </x:c>
      <x:c r="O132" s="27"/>
      <x:c r="P132" s="163" t="str">
        <x:f>IF(COUNTA(A132:H132,O132)=0,"",IF(OR(A132="",COUNTIFS($A$5:$A$204,A132)&lt;&gt;1),"SKU ausente ou duplicado",IF(OR(B132="",D132=""),"Produto ou unidade ausente",IF(OR(NOT(ISNUMBER(F132)),F132&lt;0,NOT(ISNUMBER(G132)),G132&lt;0),"Mínimo ou custo inválido",IF(AND(H132&lt;&gt;"Ativo",H132&lt;&gt;"Inativo"),"Status de produto inválido","")))))</x:f>
      </x:c>
      <x:c r="Q132" s="163" t="str">
        <x:f>IF(A132="","",IF(OR(P132&lt;&gt;"",COUNTIFS(Lotes!$B$5:$B$204,A132,Lotes!$U$5:$U$204,1)&gt;0,Listas!$B$13&lt;&gt;"OK"),"n.a.",SUMIFS(Lotes!$V$5:$V$204,Lotes!$B$5:$B$204,A132)))</x:f>
      </x:c>
      <x:c r="R132" s="163" t="n">
        <x:f>IF(P132="",0,1)</x:f>
        <x:v>0</x:v>
      </x:c>
      <x:c r="S132" s="163" t="n">
        <x:f>IF(COUNTA(A132:H132,O132)=0,0,IF(OR(Listas!$B$19="Todos",A132=Listas!$B$19,A132=""),1,0))</x:f>
        <x:v>0</x:v>
      </x:c>
      <x:c r="T132" s="163" t="n">
        <x:f>IF(S132=1,COUNTIFS($S$5:S132,1),0)</x:f>
        <x:v>0</x:v>
      </x:c>
      <x:c r="U132" s="1"/>
      <x:c r="V132" s="1"/>
      <x:c r="W132" s="1"/>
    </x:row>
    <x:row r="133" ht="32" customHeight="1">
      <x:c r="A133" s="170"/>
      <x:c r="B133" s="170"/>
      <x:c r="C133" s="170"/>
      <x:c r="D133" s="170"/>
      <x:c r="E133" s="170"/>
      <x:c r="F133" s="171"/>
      <x:c r="G133" s="172"/>
      <x:c r="H133" s="170"/>
      <x:c r="I133" s="173" t="str">
        <x:f>IF(A133="","",IF(OR(P133&lt;&gt;"",COUNTIFS(Lotes!$B$5:$B$204,A133,Lotes!$U$5:$U$204,1)&gt;0,Listas!$B$13&lt;&gt;"OK"),"n.a.",SUMIFS(Lotes!$J$5:$J$204,Lotes!$B$5:$B$204,A133)))</x:f>
      </x:c>
      <x:c r="J133" s="174" t="str">
        <x:f>IF(A133="","",IF(OR(P133&lt;&gt;"",COUNTIFS(Lotes!$B$5:$B$204,A133,Lotes!$U$5:$U$204,1)&gt;0,Listas!$B$13&lt;&gt;"OK"),"n.a.",SUMIFS(Lotes!$L$5:$L$204,Lotes!$B$5:$B$204,A133)))</x:f>
      </x:c>
      <x:c r="K133" s="173" t="str">
        <x:f>IF(A133="","",IF(OR(P133&lt;&gt;"",COUNTIFS(Lotes!$B$5:$B$204,A133,Lotes!$U$5:$U$204,1)&gt;0,Listas!$B$13&lt;&gt;"OK"),"n.a.",COUNTIFS(Lotes!$B$5:$B$204,A133,Lotes!$J$5:$J$204,"&gt;0")))</x:f>
      </x:c>
      <x:c r="L133" s="173" t="str">
        <x:f>IF(A133="","",IF(OR(P133&lt;&gt;"",COUNTIFS(Lotes!$B$5:$B$204,A133,Lotes!$U$5:$U$204,1)&gt;0,Listas!$B$13&lt;&gt;"OK"),"n.a.",COUNTIFS(Lotes!$B$5:$B$204,A133,Lotes!$J$5:$J$204,"&gt;0",Lotes!$N$5:$N$204,"VENCIDO")))</x:f>
      </x:c>
      <x:c r="M133" s="173" t="str">
        <x:f>IF(A133="","",IF(OR(P133&lt;&gt;"",COUNTIFS(Lotes!$B$5:$B$204,A133,Lotes!$U$5:$U$204,1)&gt;0,Listas!$B$13&lt;&gt;"OK"),"n.a.",COUNTIFS(Lotes!$B$5:$B$204,A133,Lotes!$J$5:$J$204,"&gt;0",Lotes!$N$5:$N$204,"CRÍTICO")+COUNTIFS(Lotes!$B$5:$B$204,A133,Lotes!$J$5:$J$204,"&gt;0",Lotes!$N$5:$N$204,"VENCE NA JANELA")))</x:f>
      </x:c>
      <x:c r="N133" s="173" t="str">
        <x:f>IF(A133="","",IF(OR(P133&lt;&gt;"",COUNTIFS(Lotes!$B$5:$B$204,A133,Lotes!$U$5:$U$204,1)&gt;0,Listas!$B$13&lt;&gt;"OK"),"REVISAR DADOS",IF(H133="Inativo","INATIVO",IF(Q133&lt;=F133,"REPOR","OK"))))</x:f>
      </x:c>
      <x:c r="O133" s="27"/>
      <x:c r="P133" s="163" t="str">
        <x:f>IF(COUNTA(A133:H133,O133)=0,"",IF(OR(A133="",COUNTIFS($A$5:$A$204,A133)&lt;&gt;1),"SKU ausente ou duplicado",IF(OR(B133="",D133=""),"Produto ou unidade ausente",IF(OR(NOT(ISNUMBER(F133)),F133&lt;0,NOT(ISNUMBER(G133)),G133&lt;0),"Mínimo ou custo inválido",IF(AND(H133&lt;&gt;"Ativo",H133&lt;&gt;"Inativo"),"Status de produto inválido","")))))</x:f>
      </x:c>
      <x:c r="Q133" s="163" t="str">
        <x:f>IF(A133="","",IF(OR(P133&lt;&gt;"",COUNTIFS(Lotes!$B$5:$B$204,A133,Lotes!$U$5:$U$204,1)&gt;0,Listas!$B$13&lt;&gt;"OK"),"n.a.",SUMIFS(Lotes!$V$5:$V$204,Lotes!$B$5:$B$204,A133)))</x:f>
      </x:c>
      <x:c r="R133" s="163" t="n">
        <x:f>IF(P133="",0,1)</x:f>
        <x:v>0</x:v>
      </x:c>
      <x:c r="S133" s="163" t="n">
        <x:f>IF(COUNTA(A133:H133,O133)=0,0,IF(OR(Listas!$B$19="Todos",A133=Listas!$B$19,A133=""),1,0))</x:f>
        <x:v>0</x:v>
      </x:c>
      <x:c r="T133" s="163" t="n">
        <x:f>IF(S133=1,COUNTIFS($S$5:S133,1),0)</x:f>
        <x:v>0</x:v>
      </x:c>
      <x:c r="U133" s="1"/>
      <x:c r="V133" s="1"/>
      <x:c r="W133" s="1"/>
    </x:row>
    <x:row r="134" ht="32" customHeight="1">
      <x:c r="A134" s="170"/>
      <x:c r="B134" s="170"/>
      <x:c r="C134" s="170"/>
      <x:c r="D134" s="170"/>
      <x:c r="E134" s="170"/>
      <x:c r="F134" s="171"/>
      <x:c r="G134" s="172"/>
      <x:c r="H134" s="170"/>
      <x:c r="I134" s="173" t="str">
        <x:f>IF(A134="","",IF(OR(P134&lt;&gt;"",COUNTIFS(Lotes!$B$5:$B$204,A134,Lotes!$U$5:$U$204,1)&gt;0,Listas!$B$13&lt;&gt;"OK"),"n.a.",SUMIFS(Lotes!$J$5:$J$204,Lotes!$B$5:$B$204,A134)))</x:f>
      </x:c>
      <x:c r="J134" s="174" t="str">
        <x:f>IF(A134="","",IF(OR(P134&lt;&gt;"",COUNTIFS(Lotes!$B$5:$B$204,A134,Lotes!$U$5:$U$204,1)&gt;0,Listas!$B$13&lt;&gt;"OK"),"n.a.",SUMIFS(Lotes!$L$5:$L$204,Lotes!$B$5:$B$204,A134)))</x:f>
      </x:c>
      <x:c r="K134" s="173" t="str">
        <x:f>IF(A134="","",IF(OR(P134&lt;&gt;"",COUNTIFS(Lotes!$B$5:$B$204,A134,Lotes!$U$5:$U$204,1)&gt;0,Listas!$B$13&lt;&gt;"OK"),"n.a.",COUNTIFS(Lotes!$B$5:$B$204,A134,Lotes!$J$5:$J$204,"&gt;0")))</x:f>
      </x:c>
      <x:c r="L134" s="173" t="str">
        <x:f>IF(A134="","",IF(OR(P134&lt;&gt;"",COUNTIFS(Lotes!$B$5:$B$204,A134,Lotes!$U$5:$U$204,1)&gt;0,Listas!$B$13&lt;&gt;"OK"),"n.a.",COUNTIFS(Lotes!$B$5:$B$204,A134,Lotes!$J$5:$J$204,"&gt;0",Lotes!$N$5:$N$204,"VENCIDO")))</x:f>
      </x:c>
      <x:c r="M134" s="173" t="str">
        <x:f>IF(A134="","",IF(OR(P134&lt;&gt;"",COUNTIFS(Lotes!$B$5:$B$204,A134,Lotes!$U$5:$U$204,1)&gt;0,Listas!$B$13&lt;&gt;"OK"),"n.a.",COUNTIFS(Lotes!$B$5:$B$204,A134,Lotes!$J$5:$J$204,"&gt;0",Lotes!$N$5:$N$204,"CRÍTICO")+COUNTIFS(Lotes!$B$5:$B$204,A134,Lotes!$J$5:$J$204,"&gt;0",Lotes!$N$5:$N$204,"VENCE NA JANELA")))</x:f>
      </x:c>
      <x:c r="N134" s="173" t="str">
        <x:f>IF(A134="","",IF(OR(P134&lt;&gt;"",COUNTIFS(Lotes!$B$5:$B$204,A134,Lotes!$U$5:$U$204,1)&gt;0,Listas!$B$13&lt;&gt;"OK"),"REVISAR DADOS",IF(H134="Inativo","INATIVO",IF(Q134&lt;=F134,"REPOR","OK"))))</x:f>
      </x:c>
      <x:c r="O134" s="27"/>
      <x:c r="P134" s="163" t="str">
        <x:f>IF(COUNTA(A134:H134,O134)=0,"",IF(OR(A134="",COUNTIFS($A$5:$A$204,A134)&lt;&gt;1),"SKU ausente ou duplicado",IF(OR(B134="",D134=""),"Produto ou unidade ausente",IF(OR(NOT(ISNUMBER(F134)),F134&lt;0,NOT(ISNUMBER(G134)),G134&lt;0),"Mínimo ou custo inválido",IF(AND(H134&lt;&gt;"Ativo",H134&lt;&gt;"Inativo"),"Status de produto inválido","")))))</x:f>
      </x:c>
      <x:c r="Q134" s="163" t="str">
        <x:f>IF(A134="","",IF(OR(P134&lt;&gt;"",COUNTIFS(Lotes!$B$5:$B$204,A134,Lotes!$U$5:$U$204,1)&gt;0,Listas!$B$13&lt;&gt;"OK"),"n.a.",SUMIFS(Lotes!$V$5:$V$204,Lotes!$B$5:$B$204,A134)))</x:f>
      </x:c>
      <x:c r="R134" s="163" t="n">
        <x:f>IF(P134="",0,1)</x:f>
        <x:v>0</x:v>
      </x:c>
      <x:c r="S134" s="163" t="n">
        <x:f>IF(COUNTA(A134:H134,O134)=0,0,IF(OR(Listas!$B$19="Todos",A134=Listas!$B$19,A134=""),1,0))</x:f>
        <x:v>0</x:v>
      </x:c>
      <x:c r="T134" s="163" t="n">
        <x:f>IF(S134=1,COUNTIFS($S$5:S134,1),0)</x:f>
        <x:v>0</x:v>
      </x:c>
      <x:c r="U134" s="1"/>
      <x:c r="V134" s="1"/>
      <x:c r="W134" s="1"/>
    </x:row>
    <x:row r="135" ht="32" customHeight="1">
      <x:c r="A135" s="170"/>
      <x:c r="B135" s="170"/>
      <x:c r="C135" s="170"/>
      <x:c r="D135" s="170"/>
      <x:c r="E135" s="170"/>
      <x:c r="F135" s="171"/>
      <x:c r="G135" s="172"/>
      <x:c r="H135" s="170"/>
      <x:c r="I135" s="173" t="str">
        <x:f>IF(A135="","",IF(OR(P135&lt;&gt;"",COUNTIFS(Lotes!$B$5:$B$204,A135,Lotes!$U$5:$U$204,1)&gt;0,Listas!$B$13&lt;&gt;"OK"),"n.a.",SUMIFS(Lotes!$J$5:$J$204,Lotes!$B$5:$B$204,A135)))</x:f>
      </x:c>
      <x:c r="J135" s="174" t="str">
        <x:f>IF(A135="","",IF(OR(P135&lt;&gt;"",COUNTIFS(Lotes!$B$5:$B$204,A135,Lotes!$U$5:$U$204,1)&gt;0,Listas!$B$13&lt;&gt;"OK"),"n.a.",SUMIFS(Lotes!$L$5:$L$204,Lotes!$B$5:$B$204,A135)))</x:f>
      </x:c>
      <x:c r="K135" s="173" t="str">
        <x:f>IF(A135="","",IF(OR(P135&lt;&gt;"",COUNTIFS(Lotes!$B$5:$B$204,A135,Lotes!$U$5:$U$204,1)&gt;0,Listas!$B$13&lt;&gt;"OK"),"n.a.",COUNTIFS(Lotes!$B$5:$B$204,A135,Lotes!$J$5:$J$204,"&gt;0")))</x:f>
      </x:c>
      <x:c r="L135" s="173" t="str">
        <x:f>IF(A135="","",IF(OR(P135&lt;&gt;"",COUNTIFS(Lotes!$B$5:$B$204,A135,Lotes!$U$5:$U$204,1)&gt;0,Listas!$B$13&lt;&gt;"OK"),"n.a.",COUNTIFS(Lotes!$B$5:$B$204,A135,Lotes!$J$5:$J$204,"&gt;0",Lotes!$N$5:$N$204,"VENCIDO")))</x:f>
      </x:c>
      <x:c r="M135" s="173" t="str">
        <x:f>IF(A135="","",IF(OR(P135&lt;&gt;"",COUNTIFS(Lotes!$B$5:$B$204,A135,Lotes!$U$5:$U$204,1)&gt;0,Listas!$B$13&lt;&gt;"OK"),"n.a.",COUNTIFS(Lotes!$B$5:$B$204,A135,Lotes!$J$5:$J$204,"&gt;0",Lotes!$N$5:$N$204,"CRÍTICO")+COUNTIFS(Lotes!$B$5:$B$204,A135,Lotes!$J$5:$J$204,"&gt;0",Lotes!$N$5:$N$204,"VENCE NA JANELA")))</x:f>
      </x:c>
      <x:c r="N135" s="173" t="str">
        <x:f>IF(A135="","",IF(OR(P135&lt;&gt;"",COUNTIFS(Lotes!$B$5:$B$204,A135,Lotes!$U$5:$U$204,1)&gt;0,Listas!$B$13&lt;&gt;"OK"),"REVISAR DADOS",IF(H135="Inativo","INATIVO",IF(Q135&lt;=F135,"REPOR","OK"))))</x:f>
      </x:c>
      <x:c r="O135" s="27"/>
      <x:c r="P135" s="163" t="str">
        <x:f>IF(COUNTA(A135:H135,O135)=0,"",IF(OR(A135="",COUNTIFS($A$5:$A$204,A135)&lt;&gt;1),"SKU ausente ou duplicado",IF(OR(B135="",D135=""),"Produto ou unidade ausente",IF(OR(NOT(ISNUMBER(F135)),F135&lt;0,NOT(ISNUMBER(G135)),G135&lt;0),"Mínimo ou custo inválido",IF(AND(H135&lt;&gt;"Ativo",H135&lt;&gt;"Inativo"),"Status de produto inválido","")))))</x:f>
      </x:c>
      <x:c r="Q135" s="163" t="str">
        <x:f>IF(A135="","",IF(OR(P135&lt;&gt;"",COUNTIFS(Lotes!$B$5:$B$204,A135,Lotes!$U$5:$U$204,1)&gt;0,Listas!$B$13&lt;&gt;"OK"),"n.a.",SUMIFS(Lotes!$V$5:$V$204,Lotes!$B$5:$B$204,A135)))</x:f>
      </x:c>
      <x:c r="R135" s="163" t="n">
        <x:f>IF(P135="",0,1)</x:f>
        <x:v>0</x:v>
      </x:c>
      <x:c r="S135" s="163" t="n">
        <x:f>IF(COUNTA(A135:H135,O135)=0,0,IF(OR(Listas!$B$19="Todos",A135=Listas!$B$19,A135=""),1,0))</x:f>
        <x:v>0</x:v>
      </x:c>
      <x:c r="T135" s="163" t="n">
        <x:f>IF(S135=1,COUNTIFS($S$5:S135,1),0)</x:f>
        <x:v>0</x:v>
      </x:c>
      <x:c r="U135" s="1"/>
      <x:c r="V135" s="1"/>
      <x:c r="W135" s="1"/>
    </x:row>
    <x:row r="136" ht="32" customHeight="1">
      <x:c r="A136" s="170"/>
      <x:c r="B136" s="170"/>
      <x:c r="C136" s="170"/>
      <x:c r="D136" s="170"/>
      <x:c r="E136" s="170"/>
      <x:c r="F136" s="171"/>
      <x:c r="G136" s="172"/>
      <x:c r="H136" s="170"/>
      <x:c r="I136" s="173" t="str">
        <x:f>IF(A136="","",IF(OR(P136&lt;&gt;"",COUNTIFS(Lotes!$B$5:$B$204,A136,Lotes!$U$5:$U$204,1)&gt;0,Listas!$B$13&lt;&gt;"OK"),"n.a.",SUMIFS(Lotes!$J$5:$J$204,Lotes!$B$5:$B$204,A136)))</x:f>
      </x:c>
      <x:c r="J136" s="174" t="str">
        <x:f>IF(A136="","",IF(OR(P136&lt;&gt;"",COUNTIFS(Lotes!$B$5:$B$204,A136,Lotes!$U$5:$U$204,1)&gt;0,Listas!$B$13&lt;&gt;"OK"),"n.a.",SUMIFS(Lotes!$L$5:$L$204,Lotes!$B$5:$B$204,A136)))</x:f>
      </x:c>
      <x:c r="K136" s="173" t="str">
        <x:f>IF(A136="","",IF(OR(P136&lt;&gt;"",COUNTIFS(Lotes!$B$5:$B$204,A136,Lotes!$U$5:$U$204,1)&gt;0,Listas!$B$13&lt;&gt;"OK"),"n.a.",COUNTIFS(Lotes!$B$5:$B$204,A136,Lotes!$J$5:$J$204,"&gt;0")))</x:f>
      </x:c>
      <x:c r="L136" s="173" t="str">
        <x:f>IF(A136="","",IF(OR(P136&lt;&gt;"",COUNTIFS(Lotes!$B$5:$B$204,A136,Lotes!$U$5:$U$204,1)&gt;0,Listas!$B$13&lt;&gt;"OK"),"n.a.",COUNTIFS(Lotes!$B$5:$B$204,A136,Lotes!$J$5:$J$204,"&gt;0",Lotes!$N$5:$N$204,"VENCIDO")))</x:f>
      </x:c>
      <x:c r="M136" s="173" t="str">
        <x:f>IF(A136="","",IF(OR(P136&lt;&gt;"",COUNTIFS(Lotes!$B$5:$B$204,A136,Lotes!$U$5:$U$204,1)&gt;0,Listas!$B$13&lt;&gt;"OK"),"n.a.",COUNTIFS(Lotes!$B$5:$B$204,A136,Lotes!$J$5:$J$204,"&gt;0",Lotes!$N$5:$N$204,"CRÍTICO")+COUNTIFS(Lotes!$B$5:$B$204,A136,Lotes!$J$5:$J$204,"&gt;0",Lotes!$N$5:$N$204,"VENCE NA JANELA")))</x:f>
      </x:c>
      <x:c r="N136" s="173" t="str">
        <x:f>IF(A136="","",IF(OR(P136&lt;&gt;"",COUNTIFS(Lotes!$B$5:$B$204,A136,Lotes!$U$5:$U$204,1)&gt;0,Listas!$B$13&lt;&gt;"OK"),"REVISAR DADOS",IF(H136="Inativo","INATIVO",IF(Q136&lt;=F136,"REPOR","OK"))))</x:f>
      </x:c>
      <x:c r="O136" s="27"/>
      <x:c r="P136" s="163" t="str">
        <x:f>IF(COUNTA(A136:H136,O136)=0,"",IF(OR(A136="",COUNTIFS($A$5:$A$204,A136)&lt;&gt;1),"SKU ausente ou duplicado",IF(OR(B136="",D136=""),"Produto ou unidade ausente",IF(OR(NOT(ISNUMBER(F136)),F136&lt;0,NOT(ISNUMBER(G136)),G136&lt;0),"Mínimo ou custo inválido",IF(AND(H136&lt;&gt;"Ativo",H136&lt;&gt;"Inativo"),"Status de produto inválido","")))))</x:f>
      </x:c>
      <x:c r="Q136" s="163" t="str">
        <x:f>IF(A136="","",IF(OR(P136&lt;&gt;"",COUNTIFS(Lotes!$B$5:$B$204,A136,Lotes!$U$5:$U$204,1)&gt;0,Listas!$B$13&lt;&gt;"OK"),"n.a.",SUMIFS(Lotes!$V$5:$V$204,Lotes!$B$5:$B$204,A136)))</x:f>
      </x:c>
      <x:c r="R136" s="163" t="n">
        <x:f>IF(P136="",0,1)</x:f>
        <x:v>0</x:v>
      </x:c>
      <x:c r="S136" s="163" t="n">
        <x:f>IF(COUNTA(A136:H136,O136)=0,0,IF(OR(Listas!$B$19="Todos",A136=Listas!$B$19,A136=""),1,0))</x:f>
        <x:v>0</x:v>
      </x:c>
      <x:c r="T136" s="163" t="n">
        <x:f>IF(S136=1,COUNTIFS($S$5:S136,1),0)</x:f>
        <x:v>0</x:v>
      </x:c>
      <x:c r="U136" s="1"/>
      <x:c r="V136" s="1"/>
      <x:c r="W136" s="1"/>
    </x:row>
    <x:row r="137" ht="32" customHeight="1">
      <x:c r="A137" s="170"/>
      <x:c r="B137" s="170"/>
      <x:c r="C137" s="170"/>
      <x:c r="D137" s="170"/>
      <x:c r="E137" s="170"/>
      <x:c r="F137" s="171"/>
      <x:c r="G137" s="172"/>
      <x:c r="H137" s="170"/>
      <x:c r="I137" s="173" t="str">
        <x:f>IF(A137="","",IF(OR(P137&lt;&gt;"",COUNTIFS(Lotes!$B$5:$B$204,A137,Lotes!$U$5:$U$204,1)&gt;0,Listas!$B$13&lt;&gt;"OK"),"n.a.",SUMIFS(Lotes!$J$5:$J$204,Lotes!$B$5:$B$204,A137)))</x:f>
      </x:c>
      <x:c r="J137" s="174" t="str">
        <x:f>IF(A137="","",IF(OR(P137&lt;&gt;"",COUNTIFS(Lotes!$B$5:$B$204,A137,Lotes!$U$5:$U$204,1)&gt;0,Listas!$B$13&lt;&gt;"OK"),"n.a.",SUMIFS(Lotes!$L$5:$L$204,Lotes!$B$5:$B$204,A137)))</x:f>
      </x:c>
      <x:c r="K137" s="173" t="str">
        <x:f>IF(A137="","",IF(OR(P137&lt;&gt;"",COUNTIFS(Lotes!$B$5:$B$204,A137,Lotes!$U$5:$U$204,1)&gt;0,Listas!$B$13&lt;&gt;"OK"),"n.a.",COUNTIFS(Lotes!$B$5:$B$204,A137,Lotes!$J$5:$J$204,"&gt;0")))</x:f>
      </x:c>
      <x:c r="L137" s="173" t="str">
        <x:f>IF(A137="","",IF(OR(P137&lt;&gt;"",COUNTIFS(Lotes!$B$5:$B$204,A137,Lotes!$U$5:$U$204,1)&gt;0,Listas!$B$13&lt;&gt;"OK"),"n.a.",COUNTIFS(Lotes!$B$5:$B$204,A137,Lotes!$J$5:$J$204,"&gt;0",Lotes!$N$5:$N$204,"VENCIDO")))</x:f>
      </x:c>
      <x:c r="M137" s="173" t="str">
        <x:f>IF(A137="","",IF(OR(P137&lt;&gt;"",COUNTIFS(Lotes!$B$5:$B$204,A137,Lotes!$U$5:$U$204,1)&gt;0,Listas!$B$13&lt;&gt;"OK"),"n.a.",COUNTIFS(Lotes!$B$5:$B$204,A137,Lotes!$J$5:$J$204,"&gt;0",Lotes!$N$5:$N$204,"CRÍTICO")+COUNTIFS(Lotes!$B$5:$B$204,A137,Lotes!$J$5:$J$204,"&gt;0",Lotes!$N$5:$N$204,"VENCE NA JANELA")))</x:f>
      </x:c>
      <x:c r="N137" s="173" t="str">
        <x:f>IF(A137="","",IF(OR(P137&lt;&gt;"",COUNTIFS(Lotes!$B$5:$B$204,A137,Lotes!$U$5:$U$204,1)&gt;0,Listas!$B$13&lt;&gt;"OK"),"REVISAR DADOS",IF(H137="Inativo","INATIVO",IF(Q137&lt;=F137,"REPOR","OK"))))</x:f>
      </x:c>
      <x:c r="O137" s="27"/>
      <x:c r="P137" s="163" t="str">
        <x:f>IF(COUNTA(A137:H137,O137)=0,"",IF(OR(A137="",COUNTIFS($A$5:$A$204,A137)&lt;&gt;1),"SKU ausente ou duplicado",IF(OR(B137="",D137=""),"Produto ou unidade ausente",IF(OR(NOT(ISNUMBER(F137)),F137&lt;0,NOT(ISNUMBER(G137)),G137&lt;0),"Mínimo ou custo inválido",IF(AND(H137&lt;&gt;"Ativo",H137&lt;&gt;"Inativo"),"Status de produto inválido","")))))</x:f>
      </x:c>
      <x:c r="Q137" s="163" t="str">
        <x:f>IF(A137="","",IF(OR(P137&lt;&gt;"",COUNTIFS(Lotes!$B$5:$B$204,A137,Lotes!$U$5:$U$204,1)&gt;0,Listas!$B$13&lt;&gt;"OK"),"n.a.",SUMIFS(Lotes!$V$5:$V$204,Lotes!$B$5:$B$204,A137)))</x:f>
      </x:c>
      <x:c r="R137" s="163" t="n">
        <x:f>IF(P137="",0,1)</x:f>
        <x:v>0</x:v>
      </x:c>
      <x:c r="S137" s="163" t="n">
        <x:f>IF(COUNTA(A137:H137,O137)=0,0,IF(OR(Listas!$B$19="Todos",A137=Listas!$B$19,A137=""),1,0))</x:f>
        <x:v>0</x:v>
      </x:c>
      <x:c r="T137" s="163" t="n">
        <x:f>IF(S137=1,COUNTIFS($S$5:S137,1),0)</x:f>
        <x:v>0</x:v>
      </x:c>
      <x:c r="U137" s="1"/>
      <x:c r="V137" s="1"/>
      <x:c r="W137" s="1"/>
    </x:row>
    <x:row r="138" ht="32" customHeight="1">
      <x:c r="A138" s="170"/>
      <x:c r="B138" s="170"/>
      <x:c r="C138" s="170"/>
      <x:c r="D138" s="170"/>
      <x:c r="E138" s="170"/>
      <x:c r="F138" s="171"/>
      <x:c r="G138" s="172"/>
      <x:c r="H138" s="170"/>
      <x:c r="I138" s="173" t="str">
        <x:f>IF(A138="","",IF(OR(P138&lt;&gt;"",COUNTIFS(Lotes!$B$5:$B$204,A138,Lotes!$U$5:$U$204,1)&gt;0,Listas!$B$13&lt;&gt;"OK"),"n.a.",SUMIFS(Lotes!$J$5:$J$204,Lotes!$B$5:$B$204,A138)))</x:f>
      </x:c>
      <x:c r="J138" s="174" t="str">
        <x:f>IF(A138="","",IF(OR(P138&lt;&gt;"",COUNTIFS(Lotes!$B$5:$B$204,A138,Lotes!$U$5:$U$204,1)&gt;0,Listas!$B$13&lt;&gt;"OK"),"n.a.",SUMIFS(Lotes!$L$5:$L$204,Lotes!$B$5:$B$204,A138)))</x:f>
      </x:c>
      <x:c r="K138" s="173" t="str">
        <x:f>IF(A138="","",IF(OR(P138&lt;&gt;"",COUNTIFS(Lotes!$B$5:$B$204,A138,Lotes!$U$5:$U$204,1)&gt;0,Listas!$B$13&lt;&gt;"OK"),"n.a.",COUNTIFS(Lotes!$B$5:$B$204,A138,Lotes!$J$5:$J$204,"&gt;0")))</x:f>
      </x:c>
      <x:c r="L138" s="173" t="str">
        <x:f>IF(A138="","",IF(OR(P138&lt;&gt;"",COUNTIFS(Lotes!$B$5:$B$204,A138,Lotes!$U$5:$U$204,1)&gt;0,Listas!$B$13&lt;&gt;"OK"),"n.a.",COUNTIFS(Lotes!$B$5:$B$204,A138,Lotes!$J$5:$J$204,"&gt;0",Lotes!$N$5:$N$204,"VENCIDO")))</x:f>
      </x:c>
      <x:c r="M138" s="173" t="str">
        <x:f>IF(A138="","",IF(OR(P138&lt;&gt;"",COUNTIFS(Lotes!$B$5:$B$204,A138,Lotes!$U$5:$U$204,1)&gt;0,Listas!$B$13&lt;&gt;"OK"),"n.a.",COUNTIFS(Lotes!$B$5:$B$204,A138,Lotes!$J$5:$J$204,"&gt;0",Lotes!$N$5:$N$204,"CRÍTICO")+COUNTIFS(Lotes!$B$5:$B$204,A138,Lotes!$J$5:$J$204,"&gt;0",Lotes!$N$5:$N$204,"VENCE NA JANELA")))</x:f>
      </x:c>
      <x:c r="N138" s="173" t="str">
        <x:f>IF(A138="","",IF(OR(P138&lt;&gt;"",COUNTIFS(Lotes!$B$5:$B$204,A138,Lotes!$U$5:$U$204,1)&gt;0,Listas!$B$13&lt;&gt;"OK"),"REVISAR DADOS",IF(H138="Inativo","INATIVO",IF(Q138&lt;=F138,"REPOR","OK"))))</x:f>
      </x:c>
      <x:c r="O138" s="27"/>
      <x:c r="P138" s="163" t="str">
        <x:f>IF(COUNTA(A138:H138,O138)=0,"",IF(OR(A138="",COUNTIFS($A$5:$A$204,A138)&lt;&gt;1),"SKU ausente ou duplicado",IF(OR(B138="",D138=""),"Produto ou unidade ausente",IF(OR(NOT(ISNUMBER(F138)),F138&lt;0,NOT(ISNUMBER(G138)),G138&lt;0),"Mínimo ou custo inválido",IF(AND(H138&lt;&gt;"Ativo",H138&lt;&gt;"Inativo"),"Status de produto inválido","")))))</x:f>
      </x:c>
      <x:c r="Q138" s="163" t="str">
        <x:f>IF(A138="","",IF(OR(P138&lt;&gt;"",COUNTIFS(Lotes!$B$5:$B$204,A138,Lotes!$U$5:$U$204,1)&gt;0,Listas!$B$13&lt;&gt;"OK"),"n.a.",SUMIFS(Lotes!$V$5:$V$204,Lotes!$B$5:$B$204,A138)))</x:f>
      </x:c>
      <x:c r="R138" s="163" t="n">
        <x:f>IF(P138="",0,1)</x:f>
        <x:v>0</x:v>
      </x:c>
      <x:c r="S138" s="163" t="n">
        <x:f>IF(COUNTA(A138:H138,O138)=0,0,IF(OR(Listas!$B$19="Todos",A138=Listas!$B$19,A138=""),1,0))</x:f>
        <x:v>0</x:v>
      </x:c>
      <x:c r="T138" s="163" t="n">
        <x:f>IF(S138=1,COUNTIFS($S$5:S138,1),0)</x:f>
        <x:v>0</x:v>
      </x:c>
      <x:c r="U138" s="1"/>
      <x:c r="V138" s="1"/>
      <x:c r="W138" s="1"/>
    </x:row>
    <x:row r="139" ht="32" customHeight="1">
      <x:c r="A139" s="170"/>
      <x:c r="B139" s="170"/>
      <x:c r="C139" s="170"/>
      <x:c r="D139" s="170"/>
      <x:c r="E139" s="170"/>
      <x:c r="F139" s="171"/>
      <x:c r="G139" s="172"/>
      <x:c r="H139" s="170"/>
      <x:c r="I139" s="173" t="str">
        <x:f>IF(A139="","",IF(OR(P139&lt;&gt;"",COUNTIFS(Lotes!$B$5:$B$204,A139,Lotes!$U$5:$U$204,1)&gt;0,Listas!$B$13&lt;&gt;"OK"),"n.a.",SUMIFS(Lotes!$J$5:$J$204,Lotes!$B$5:$B$204,A139)))</x:f>
      </x:c>
      <x:c r="J139" s="174" t="str">
        <x:f>IF(A139="","",IF(OR(P139&lt;&gt;"",COUNTIFS(Lotes!$B$5:$B$204,A139,Lotes!$U$5:$U$204,1)&gt;0,Listas!$B$13&lt;&gt;"OK"),"n.a.",SUMIFS(Lotes!$L$5:$L$204,Lotes!$B$5:$B$204,A139)))</x:f>
      </x:c>
      <x:c r="K139" s="173" t="str">
        <x:f>IF(A139="","",IF(OR(P139&lt;&gt;"",COUNTIFS(Lotes!$B$5:$B$204,A139,Lotes!$U$5:$U$204,1)&gt;0,Listas!$B$13&lt;&gt;"OK"),"n.a.",COUNTIFS(Lotes!$B$5:$B$204,A139,Lotes!$J$5:$J$204,"&gt;0")))</x:f>
      </x:c>
      <x:c r="L139" s="173" t="str">
        <x:f>IF(A139="","",IF(OR(P139&lt;&gt;"",COUNTIFS(Lotes!$B$5:$B$204,A139,Lotes!$U$5:$U$204,1)&gt;0,Listas!$B$13&lt;&gt;"OK"),"n.a.",COUNTIFS(Lotes!$B$5:$B$204,A139,Lotes!$J$5:$J$204,"&gt;0",Lotes!$N$5:$N$204,"VENCIDO")))</x:f>
      </x:c>
      <x:c r="M139" s="173" t="str">
        <x:f>IF(A139="","",IF(OR(P139&lt;&gt;"",COUNTIFS(Lotes!$B$5:$B$204,A139,Lotes!$U$5:$U$204,1)&gt;0,Listas!$B$13&lt;&gt;"OK"),"n.a.",COUNTIFS(Lotes!$B$5:$B$204,A139,Lotes!$J$5:$J$204,"&gt;0",Lotes!$N$5:$N$204,"CRÍTICO")+COUNTIFS(Lotes!$B$5:$B$204,A139,Lotes!$J$5:$J$204,"&gt;0",Lotes!$N$5:$N$204,"VENCE NA JANELA")))</x:f>
      </x:c>
      <x:c r="N139" s="173" t="str">
        <x:f>IF(A139="","",IF(OR(P139&lt;&gt;"",COUNTIFS(Lotes!$B$5:$B$204,A139,Lotes!$U$5:$U$204,1)&gt;0,Listas!$B$13&lt;&gt;"OK"),"REVISAR DADOS",IF(H139="Inativo","INATIVO",IF(Q139&lt;=F139,"REPOR","OK"))))</x:f>
      </x:c>
      <x:c r="O139" s="27"/>
      <x:c r="P139" s="163" t="str">
        <x:f>IF(COUNTA(A139:H139,O139)=0,"",IF(OR(A139="",COUNTIFS($A$5:$A$204,A139)&lt;&gt;1),"SKU ausente ou duplicado",IF(OR(B139="",D139=""),"Produto ou unidade ausente",IF(OR(NOT(ISNUMBER(F139)),F139&lt;0,NOT(ISNUMBER(G139)),G139&lt;0),"Mínimo ou custo inválido",IF(AND(H139&lt;&gt;"Ativo",H139&lt;&gt;"Inativo"),"Status de produto inválido","")))))</x:f>
      </x:c>
      <x:c r="Q139" s="163" t="str">
        <x:f>IF(A139="","",IF(OR(P139&lt;&gt;"",COUNTIFS(Lotes!$B$5:$B$204,A139,Lotes!$U$5:$U$204,1)&gt;0,Listas!$B$13&lt;&gt;"OK"),"n.a.",SUMIFS(Lotes!$V$5:$V$204,Lotes!$B$5:$B$204,A139)))</x:f>
      </x:c>
      <x:c r="R139" s="163" t="n">
        <x:f>IF(P139="",0,1)</x:f>
        <x:v>0</x:v>
      </x:c>
      <x:c r="S139" s="163" t="n">
        <x:f>IF(COUNTA(A139:H139,O139)=0,0,IF(OR(Listas!$B$19="Todos",A139=Listas!$B$19,A139=""),1,0))</x:f>
        <x:v>0</x:v>
      </x:c>
      <x:c r="T139" s="163" t="n">
        <x:f>IF(S139=1,COUNTIFS($S$5:S139,1),0)</x:f>
        <x:v>0</x:v>
      </x:c>
      <x:c r="U139" s="1"/>
      <x:c r="V139" s="1"/>
      <x:c r="W139" s="1"/>
    </x:row>
    <x:row r="140" ht="32" customHeight="1">
      <x:c r="A140" s="170"/>
      <x:c r="B140" s="170"/>
      <x:c r="C140" s="170"/>
      <x:c r="D140" s="170"/>
      <x:c r="E140" s="170"/>
      <x:c r="F140" s="171"/>
      <x:c r="G140" s="172"/>
      <x:c r="H140" s="170"/>
      <x:c r="I140" s="173" t="str">
        <x:f>IF(A140="","",IF(OR(P140&lt;&gt;"",COUNTIFS(Lotes!$B$5:$B$204,A140,Lotes!$U$5:$U$204,1)&gt;0,Listas!$B$13&lt;&gt;"OK"),"n.a.",SUMIFS(Lotes!$J$5:$J$204,Lotes!$B$5:$B$204,A140)))</x:f>
      </x:c>
      <x:c r="J140" s="174" t="str">
        <x:f>IF(A140="","",IF(OR(P140&lt;&gt;"",COUNTIFS(Lotes!$B$5:$B$204,A140,Lotes!$U$5:$U$204,1)&gt;0,Listas!$B$13&lt;&gt;"OK"),"n.a.",SUMIFS(Lotes!$L$5:$L$204,Lotes!$B$5:$B$204,A140)))</x:f>
      </x:c>
      <x:c r="K140" s="173" t="str">
        <x:f>IF(A140="","",IF(OR(P140&lt;&gt;"",COUNTIFS(Lotes!$B$5:$B$204,A140,Lotes!$U$5:$U$204,1)&gt;0,Listas!$B$13&lt;&gt;"OK"),"n.a.",COUNTIFS(Lotes!$B$5:$B$204,A140,Lotes!$J$5:$J$204,"&gt;0")))</x:f>
      </x:c>
      <x:c r="L140" s="173" t="str">
        <x:f>IF(A140="","",IF(OR(P140&lt;&gt;"",COUNTIFS(Lotes!$B$5:$B$204,A140,Lotes!$U$5:$U$204,1)&gt;0,Listas!$B$13&lt;&gt;"OK"),"n.a.",COUNTIFS(Lotes!$B$5:$B$204,A140,Lotes!$J$5:$J$204,"&gt;0",Lotes!$N$5:$N$204,"VENCIDO")))</x:f>
      </x:c>
      <x:c r="M140" s="173" t="str">
        <x:f>IF(A140="","",IF(OR(P140&lt;&gt;"",COUNTIFS(Lotes!$B$5:$B$204,A140,Lotes!$U$5:$U$204,1)&gt;0,Listas!$B$13&lt;&gt;"OK"),"n.a.",COUNTIFS(Lotes!$B$5:$B$204,A140,Lotes!$J$5:$J$204,"&gt;0",Lotes!$N$5:$N$204,"CRÍTICO")+COUNTIFS(Lotes!$B$5:$B$204,A140,Lotes!$J$5:$J$204,"&gt;0",Lotes!$N$5:$N$204,"VENCE NA JANELA")))</x:f>
      </x:c>
      <x:c r="N140" s="173" t="str">
        <x:f>IF(A140="","",IF(OR(P140&lt;&gt;"",COUNTIFS(Lotes!$B$5:$B$204,A140,Lotes!$U$5:$U$204,1)&gt;0,Listas!$B$13&lt;&gt;"OK"),"REVISAR DADOS",IF(H140="Inativo","INATIVO",IF(Q140&lt;=F140,"REPOR","OK"))))</x:f>
      </x:c>
      <x:c r="O140" s="27"/>
      <x:c r="P140" s="163" t="str">
        <x:f>IF(COUNTA(A140:H140,O140)=0,"",IF(OR(A140="",COUNTIFS($A$5:$A$204,A140)&lt;&gt;1),"SKU ausente ou duplicado",IF(OR(B140="",D140=""),"Produto ou unidade ausente",IF(OR(NOT(ISNUMBER(F140)),F140&lt;0,NOT(ISNUMBER(G140)),G140&lt;0),"Mínimo ou custo inválido",IF(AND(H140&lt;&gt;"Ativo",H140&lt;&gt;"Inativo"),"Status de produto inválido","")))))</x:f>
      </x:c>
      <x:c r="Q140" s="163" t="str">
        <x:f>IF(A140="","",IF(OR(P140&lt;&gt;"",COUNTIFS(Lotes!$B$5:$B$204,A140,Lotes!$U$5:$U$204,1)&gt;0,Listas!$B$13&lt;&gt;"OK"),"n.a.",SUMIFS(Lotes!$V$5:$V$204,Lotes!$B$5:$B$204,A140)))</x:f>
      </x:c>
      <x:c r="R140" s="163" t="n">
        <x:f>IF(P140="",0,1)</x:f>
        <x:v>0</x:v>
      </x:c>
      <x:c r="S140" s="163" t="n">
        <x:f>IF(COUNTA(A140:H140,O140)=0,0,IF(OR(Listas!$B$19="Todos",A140=Listas!$B$19,A140=""),1,0))</x:f>
        <x:v>0</x:v>
      </x:c>
      <x:c r="T140" s="163" t="n">
        <x:f>IF(S140=1,COUNTIFS($S$5:S140,1),0)</x:f>
        <x:v>0</x:v>
      </x:c>
      <x:c r="U140" s="1"/>
      <x:c r="V140" s="1"/>
      <x:c r="W140" s="1"/>
    </x:row>
    <x:row r="141" ht="32" customHeight="1">
      <x:c r="A141" s="170"/>
      <x:c r="B141" s="170"/>
      <x:c r="C141" s="170"/>
      <x:c r="D141" s="170"/>
      <x:c r="E141" s="170"/>
      <x:c r="F141" s="171"/>
      <x:c r="G141" s="172"/>
      <x:c r="H141" s="170"/>
      <x:c r="I141" s="173" t="str">
        <x:f>IF(A141="","",IF(OR(P141&lt;&gt;"",COUNTIFS(Lotes!$B$5:$B$204,A141,Lotes!$U$5:$U$204,1)&gt;0,Listas!$B$13&lt;&gt;"OK"),"n.a.",SUMIFS(Lotes!$J$5:$J$204,Lotes!$B$5:$B$204,A141)))</x:f>
      </x:c>
      <x:c r="J141" s="174" t="str">
        <x:f>IF(A141="","",IF(OR(P141&lt;&gt;"",COUNTIFS(Lotes!$B$5:$B$204,A141,Lotes!$U$5:$U$204,1)&gt;0,Listas!$B$13&lt;&gt;"OK"),"n.a.",SUMIFS(Lotes!$L$5:$L$204,Lotes!$B$5:$B$204,A141)))</x:f>
      </x:c>
      <x:c r="K141" s="173" t="str">
        <x:f>IF(A141="","",IF(OR(P141&lt;&gt;"",COUNTIFS(Lotes!$B$5:$B$204,A141,Lotes!$U$5:$U$204,1)&gt;0,Listas!$B$13&lt;&gt;"OK"),"n.a.",COUNTIFS(Lotes!$B$5:$B$204,A141,Lotes!$J$5:$J$204,"&gt;0")))</x:f>
      </x:c>
      <x:c r="L141" s="173" t="str">
        <x:f>IF(A141="","",IF(OR(P141&lt;&gt;"",COUNTIFS(Lotes!$B$5:$B$204,A141,Lotes!$U$5:$U$204,1)&gt;0,Listas!$B$13&lt;&gt;"OK"),"n.a.",COUNTIFS(Lotes!$B$5:$B$204,A141,Lotes!$J$5:$J$204,"&gt;0",Lotes!$N$5:$N$204,"VENCIDO")))</x:f>
      </x:c>
      <x:c r="M141" s="173" t="str">
        <x:f>IF(A141="","",IF(OR(P141&lt;&gt;"",COUNTIFS(Lotes!$B$5:$B$204,A141,Lotes!$U$5:$U$204,1)&gt;0,Listas!$B$13&lt;&gt;"OK"),"n.a.",COUNTIFS(Lotes!$B$5:$B$204,A141,Lotes!$J$5:$J$204,"&gt;0",Lotes!$N$5:$N$204,"CRÍTICO")+COUNTIFS(Lotes!$B$5:$B$204,A141,Lotes!$J$5:$J$204,"&gt;0",Lotes!$N$5:$N$204,"VENCE NA JANELA")))</x:f>
      </x:c>
      <x:c r="N141" s="173" t="str">
        <x:f>IF(A141="","",IF(OR(P141&lt;&gt;"",COUNTIFS(Lotes!$B$5:$B$204,A141,Lotes!$U$5:$U$204,1)&gt;0,Listas!$B$13&lt;&gt;"OK"),"REVISAR DADOS",IF(H141="Inativo","INATIVO",IF(Q141&lt;=F141,"REPOR","OK"))))</x:f>
      </x:c>
      <x:c r="O141" s="27"/>
      <x:c r="P141" s="163" t="str">
        <x:f>IF(COUNTA(A141:H141,O141)=0,"",IF(OR(A141="",COUNTIFS($A$5:$A$204,A141)&lt;&gt;1),"SKU ausente ou duplicado",IF(OR(B141="",D141=""),"Produto ou unidade ausente",IF(OR(NOT(ISNUMBER(F141)),F141&lt;0,NOT(ISNUMBER(G141)),G141&lt;0),"Mínimo ou custo inválido",IF(AND(H141&lt;&gt;"Ativo",H141&lt;&gt;"Inativo"),"Status de produto inválido","")))))</x:f>
      </x:c>
      <x:c r="Q141" s="163" t="str">
        <x:f>IF(A141="","",IF(OR(P141&lt;&gt;"",COUNTIFS(Lotes!$B$5:$B$204,A141,Lotes!$U$5:$U$204,1)&gt;0,Listas!$B$13&lt;&gt;"OK"),"n.a.",SUMIFS(Lotes!$V$5:$V$204,Lotes!$B$5:$B$204,A141)))</x:f>
      </x:c>
      <x:c r="R141" s="163" t="n">
        <x:f>IF(P141="",0,1)</x:f>
        <x:v>0</x:v>
      </x:c>
      <x:c r="S141" s="163" t="n">
        <x:f>IF(COUNTA(A141:H141,O141)=0,0,IF(OR(Listas!$B$19="Todos",A141=Listas!$B$19,A141=""),1,0))</x:f>
        <x:v>0</x:v>
      </x:c>
      <x:c r="T141" s="163" t="n">
        <x:f>IF(S141=1,COUNTIFS($S$5:S141,1),0)</x:f>
        <x:v>0</x:v>
      </x:c>
      <x:c r="U141" s="1"/>
      <x:c r="V141" s="1"/>
      <x:c r="W141" s="1"/>
    </x:row>
    <x:row r="142" ht="32" customHeight="1">
      <x:c r="A142" s="170"/>
      <x:c r="B142" s="170"/>
      <x:c r="C142" s="170"/>
      <x:c r="D142" s="170"/>
      <x:c r="E142" s="170"/>
      <x:c r="F142" s="171"/>
      <x:c r="G142" s="172"/>
      <x:c r="H142" s="170"/>
      <x:c r="I142" s="173" t="str">
        <x:f>IF(A142="","",IF(OR(P142&lt;&gt;"",COUNTIFS(Lotes!$B$5:$B$204,A142,Lotes!$U$5:$U$204,1)&gt;0,Listas!$B$13&lt;&gt;"OK"),"n.a.",SUMIFS(Lotes!$J$5:$J$204,Lotes!$B$5:$B$204,A142)))</x:f>
      </x:c>
      <x:c r="J142" s="174" t="str">
        <x:f>IF(A142="","",IF(OR(P142&lt;&gt;"",COUNTIFS(Lotes!$B$5:$B$204,A142,Lotes!$U$5:$U$204,1)&gt;0,Listas!$B$13&lt;&gt;"OK"),"n.a.",SUMIFS(Lotes!$L$5:$L$204,Lotes!$B$5:$B$204,A142)))</x:f>
      </x:c>
      <x:c r="K142" s="173" t="str">
        <x:f>IF(A142="","",IF(OR(P142&lt;&gt;"",COUNTIFS(Lotes!$B$5:$B$204,A142,Lotes!$U$5:$U$204,1)&gt;0,Listas!$B$13&lt;&gt;"OK"),"n.a.",COUNTIFS(Lotes!$B$5:$B$204,A142,Lotes!$J$5:$J$204,"&gt;0")))</x:f>
      </x:c>
      <x:c r="L142" s="173" t="str">
        <x:f>IF(A142="","",IF(OR(P142&lt;&gt;"",COUNTIFS(Lotes!$B$5:$B$204,A142,Lotes!$U$5:$U$204,1)&gt;0,Listas!$B$13&lt;&gt;"OK"),"n.a.",COUNTIFS(Lotes!$B$5:$B$204,A142,Lotes!$J$5:$J$204,"&gt;0",Lotes!$N$5:$N$204,"VENCIDO")))</x:f>
      </x:c>
      <x:c r="M142" s="173" t="str">
        <x:f>IF(A142="","",IF(OR(P142&lt;&gt;"",COUNTIFS(Lotes!$B$5:$B$204,A142,Lotes!$U$5:$U$204,1)&gt;0,Listas!$B$13&lt;&gt;"OK"),"n.a.",COUNTIFS(Lotes!$B$5:$B$204,A142,Lotes!$J$5:$J$204,"&gt;0",Lotes!$N$5:$N$204,"CRÍTICO")+COUNTIFS(Lotes!$B$5:$B$204,A142,Lotes!$J$5:$J$204,"&gt;0",Lotes!$N$5:$N$204,"VENCE NA JANELA")))</x:f>
      </x:c>
      <x:c r="N142" s="173" t="str">
        <x:f>IF(A142="","",IF(OR(P142&lt;&gt;"",COUNTIFS(Lotes!$B$5:$B$204,A142,Lotes!$U$5:$U$204,1)&gt;0,Listas!$B$13&lt;&gt;"OK"),"REVISAR DADOS",IF(H142="Inativo","INATIVO",IF(Q142&lt;=F142,"REPOR","OK"))))</x:f>
      </x:c>
      <x:c r="O142" s="27"/>
      <x:c r="P142" s="163" t="str">
        <x:f>IF(COUNTA(A142:H142,O142)=0,"",IF(OR(A142="",COUNTIFS($A$5:$A$204,A142)&lt;&gt;1),"SKU ausente ou duplicado",IF(OR(B142="",D142=""),"Produto ou unidade ausente",IF(OR(NOT(ISNUMBER(F142)),F142&lt;0,NOT(ISNUMBER(G142)),G142&lt;0),"Mínimo ou custo inválido",IF(AND(H142&lt;&gt;"Ativo",H142&lt;&gt;"Inativo"),"Status de produto inválido","")))))</x:f>
      </x:c>
      <x:c r="Q142" s="163" t="str">
        <x:f>IF(A142="","",IF(OR(P142&lt;&gt;"",COUNTIFS(Lotes!$B$5:$B$204,A142,Lotes!$U$5:$U$204,1)&gt;0,Listas!$B$13&lt;&gt;"OK"),"n.a.",SUMIFS(Lotes!$V$5:$V$204,Lotes!$B$5:$B$204,A142)))</x:f>
      </x:c>
      <x:c r="R142" s="163" t="n">
        <x:f>IF(P142="",0,1)</x:f>
        <x:v>0</x:v>
      </x:c>
      <x:c r="S142" s="163" t="n">
        <x:f>IF(COUNTA(A142:H142,O142)=0,0,IF(OR(Listas!$B$19="Todos",A142=Listas!$B$19,A142=""),1,0))</x:f>
        <x:v>0</x:v>
      </x:c>
      <x:c r="T142" s="163" t="n">
        <x:f>IF(S142=1,COUNTIFS($S$5:S142,1),0)</x:f>
        <x:v>0</x:v>
      </x:c>
      <x:c r="U142" s="1"/>
      <x:c r="V142" s="1"/>
      <x:c r="W142" s="1"/>
    </x:row>
    <x:row r="143" ht="32" customHeight="1">
      <x:c r="A143" s="170"/>
      <x:c r="B143" s="170"/>
      <x:c r="C143" s="170"/>
      <x:c r="D143" s="170"/>
      <x:c r="E143" s="170"/>
      <x:c r="F143" s="171"/>
      <x:c r="G143" s="172"/>
      <x:c r="H143" s="170"/>
      <x:c r="I143" s="173" t="str">
        <x:f>IF(A143="","",IF(OR(P143&lt;&gt;"",COUNTIFS(Lotes!$B$5:$B$204,A143,Lotes!$U$5:$U$204,1)&gt;0,Listas!$B$13&lt;&gt;"OK"),"n.a.",SUMIFS(Lotes!$J$5:$J$204,Lotes!$B$5:$B$204,A143)))</x:f>
      </x:c>
      <x:c r="J143" s="174" t="str">
        <x:f>IF(A143="","",IF(OR(P143&lt;&gt;"",COUNTIFS(Lotes!$B$5:$B$204,A143,Lotes!$U$5:$U$204,1)&gt;0,Listas!$B$13&lt;&gt;"OK"),"n.a.",SUMIFS(Lotes!$L$5:$L$204,Lotes!$B$5:$B$204,A143)))</x:f>
      </x:c>
      <x:c r="K143" s="173" t="str">
        <x:f>IF(A143="","",IF(OR(P143&lt;&gt;"",COUNTIFS(Lotes!$B$5:$B$204,A143,Lotes!$U$5:$U$204,1)&gt;0,Listas!$B$13&lt;&gt;"OK"),"n.a.",COUNTIFS(Lotes!$B$5:$B$204,A143,Lotes!$J$5:$J$204,"&gt;0")))</x:f>
      </x:c>
      <x:c r="L143" s="173" t="str">
        <x:f>IF(A143="","",IF(OR(P143&lt;&gt;"",COUNTIFS(Lotes!$B$5:$B$204,A143,Lotes!$U$5:$U$204,1)&gt;0,Listas!$B$13&lt;&gt;"OK"),"n.a.",COUNTIFS(Lotes!$B$5:$B$204,A143,Lotes!$J$5:$J$204,"&gt;0",Lotes!$N$5:$N$204,"VENCIDO")))</x:f>
      </x:c>
      <x:c r="M143" s="173" t="str">
        <x:f>IF(A143="","",IF(OR(P143&lt;&gt;"",COUNTIFS(Lotes!$B$5:$B$204,A143,Lotes!$U$5:$U$204,1)&gt;0,Listas!$B$13&lt;&gt;"OK"),"n.a.",COUNTIFS(Lotes!$B$5:$B$204,A143,Lotes!$J$5:$J$204,"&gt;0",Lotes!$N$5:$N$204,"CRÍTICO")+COUNTIFS(Lotes!$B$5:$B$204,A143,Lotes!$J$5:$J$204,"&gt;0",Lotes!$N$5:$N$204,"VENCE NA JANELA")))</x:f>
      </x:c>
      <x:c r="N143" s="173" t="str">
        <x:f>IF(A143="","",IF(OR(P143&lt;&gt;"",COUNTIFS(Lotes!$B$5:$B$204,A143,Lotes!$U$5:$U$204,1)&gt;0,Listas!$B$13&lt;&gt;"OK"),"REVISAR DADOS",IF(H143="Inativo","INATIVO",IF(Q143&lt;=F143,"REPOR","OK"))))</x:f>
      </x:c>
      <x:c r="O143" s="27"/>
      <x:c r="P143" s="163" t="str">
        <x:f>IF(COUNTA(A143:H143,O143)=0,"",IF(OR(A143="",COUNTIFS($A$5:$A$204,A143)&lt;&gt;1),"SKU ausente ou duplicado",IF(OR(B143="",D143=""),"Produto ou unidade ausente",IF(OR(NOT(ISNUMBER(F143)),F143&lt;0,NOT(ISNUMBER(G143)),G143&lt;0),"Mínimo ou custo inválido",IF(AND(H143&lt;&gt;"Ativo",H143&lt;&gt;"Inativo"),"Status de produto inválido","")))))</x:f>
      </x:c>
      <x:c r="Q143" s="163" t="str">
        <x:f>IF(A143="","",IF(OR(P143&lt;&gt;"",COUNTIFS(Lotes!$B$5:$B$204,A143,Lotes!$U$5:$U$204,1)&gt;0,Listas!$B$13&lt;&gt;"OK"),"n.a.",SUMIFS(Lotes!$V$5:$V$204,Lotes!$B$5:$B$204,A143)))</x:f>
      </x:c>
      <x:c r="R143" s="163" t="n">
        <x:f>IF(P143="",0,1)</x:f>
        <x:v>0</x:v>
      </x:c>
      <x:c r="S143" s="163" t="n">
        <x:f>IF(COUNTA(A143:H143,O143)=0,0,IF(OR(Listas!$B$19="Todos",A143=Listas!$B$19,A143=""),1,0))</x:f>
        <x:v>0</x:v>
      </x:c>
      <x:c r="T143" s="163" t="n">
        <x:f>IF(S143=1,COUNTIFS($S$5:S143,1),0)</x:f>
        <x:v>0</x:v>
      </x:c>
      <x:c r="U143" s="1"/>
      <x:c r="V143" s="1"/>
      <x:c r="W143" s="1"/>
    </x:row>
    <x:row r="144" ht="32" customHeight="1">
      <x:c r="A144" s="170"/>
      <x:c r="B144" s="170"/>
      <x:c r="C144" s="170"/>
      <x:c r="D144" s="170"/>
      <x:c r="E144" s="170"/>
      <x:c r="F144" s="171"/>
      <x:c r="G144" s="172"/>
      <x:c r="H144" s="170"/>
      <x:c r="I144" s="173" t="str">
        <x:f>IF(A144="","",IF(OR(P144&lt;&gt;"",COUNTIFS(Lotes!$B$5:$B$204,A144,Lotes!$U$5:$U$204,1)&gt;0,Listas!$B$13&lt;&gt;"OK"),"n.a.",SUMIFS(Lotes!$J$5:$J$204,Lotes!$B$5:$B$204,A144)))</x:f>
      </x:c>
      <x:c r="J144" s="174" t="str">
        <x:f>IF(A144="","",IF(OR(P144&lt;&gt;"",COUNTIFS(Lotes!$B$5:$B$204,A144,Lotes!$U$5:$U$204,1)&gt;0,Listas!$B$13&lt;&gt;"OK"),"n.a.",SUMIFS(Lotes!$L$5:$L$204,Lotes!$B$5:$B$204,A144)))</x:f>
      </x:c>
      <x:c r="K144" s="173" t="str">
        <x:f>IF(A144="","",IF(OR(P144&lt;&gt;"",COUNTIFS(Lotes!$B$5:$B$204,A144,Lotes!$U$5:$U$204,1)&gt;0,Listas!$B$13&lt;&gt;"OK"),"n.a.",COUNTIFS(Lotes!$B$5:$B$204,A144,Lotes!$J$5:$J$204,"&gt;0")))</x:f>
      </x:c>
      <x:c r="L144" s="173" t="str">
        <x:f>IF(A144="","",IF(OR(P144&lt;&gt;"",COUNTIFS(Lotes!$B$5:$B$204,A144,Lotes!$U$5:$U$204,1)&gt;0,Listas!$B$13&lt;&gt;"OK"),"n.a.",COUNTIFS(Lotes!$B$5:$B$204,A144,Lotes!$J$5:$J$204,"&gt;0",Lotes!$N$5:$N$204,"VENCIDO")))</x:f>
      </x:c>
      <x:c r="M144" s="173" t="str">
        <x:f>IF(A144="","",IF(OR(P144&lt;&gt;"",COUNTIFS(Lotes!$B$5:$B$204,A144,Lotes!$U$5:$U$204,1)&gt;0,Listas!$B$13&lt;&gt;"OK"),"n.a.",COUNTIFS(Lotes!$B$5:$B$204,A144,Lotes!$J$5:$J$204,"&gt;0",Lotes!$N$5:$N$204,"CRÍTICO")+COUNTIFS(Lotes!$B$5:$B$204,A144,Lotes!$J$5:$J$204,"&gt;0",Lotes!$N$5:$N$204,"VENCE NA JANELA")))</x:f>
      </x:c>
      <x:c r="N144" s="173" t="str">
        <x:f>IF(A144="","",IF(OR(P144&lt;&gt;"",COUNTIFS(Lotes!$B$5:$B$204,A144,Lotes!$U$5:$U$204,1)&gt;0,Listas!$B$13&lt;&gt;"OK"),"REVISAR DADOS",IF(H144="Inativo","INATIVO",IF(Q144&lt;=F144,"REPOR","OK"))))</x:f>
      </x:c>
      <x:c r="O144" s="27"/>
      <x:c r="P144" s="163" t="str">
        <x:f>IF(COUNTA(A144:H144,O144)=0,"",IF(OR(A144="",COUNTIFS($A$5:$A$204,A144)&lt;&gt;1),"SKU ausente ou duplicado",IF(OR(B144="",D144=""),"Produto ou unidade ausente",IF(OR(NOT(ISNUMBER(F144)),F144&lt;0,NOT(ISNUMBER(G144)),G144&lt;0),"Mínimo ou custo inválido",IF(AND(H144&lt;&gt;"Ativo",H144&lt;&gt;"Inativo"),"Status de produto inválido","")))))</x:f>
      </x:c>
      <x:c r="Q144" s="163" t="str">
        <x:f>IF(A144="","",IF(OR(P144&lt;&gt;"",COUNTIFS(Lotes!$B$5:$B$204,A144,Lotes!$U$5:$U$204,1)&gt;0,Listas!$B$13&lt;&gt;"OK"),"n.a.",SUMIFS(Lotes!$V$5:$V$204,Lotes!$B$5:$B$204,A144)))</x:f>
      </x:c>
      <x:c r="R144" s="163" t="n">
        <x:f>IF(P144="",0,1)</x:f>
        <x:v>0</x:v>
      </x:c>
      <x:c r="S144" s="163" t="n">
        <x:f>IF(COUNTA(A144:H144,O144)=0,0,IF(OR(Listas!$B$19="Todos",A144=Listas!$B$19,A144=""),1,0))</x:f>
        <x:v>0</x:v>
      </x:c>
      <x:c r="T144" s="163" t="n">
        <x:f>IF(S144=1,COUNTIFS($S$5:S144,1),0)</x:f>
        <x:v>0</x:v>
      </x:c>
      <x:c r="U144" s="1"/>
      <x:c r="V144" s="1"/>
      <x:c r="W144" s="1"/>
    </x:row>
    <x:row r="145" ht="32" customHeight="1">
      <x:c r="A145" s="170"/>
      <x:c r="B145" s="170"/>
      <x:c r="C145" s="170"/>
      <x:c r="D145" s="170"/>
      <x:c r="E145" s="170"/>
      <x:c r="F145" s="171"/>
      <x:c r="G145" s="172"/>
      <x:c r="H145" s="170"/>
      <x:c r="I145" s="173" t="str">
        <x:f>IF(A145="","",IF(OR(P145&lt;&gt;"",COUNTIFS(Lotes!$B$5:$B$204,A145,Lotes!$U$5:$U$204,1)&gt;0,Listas!$B$13&lt;&gt;"OK"),"n.a.",SUMIFS(Lotes!$J$5:$J$204,Lotes!$B$5:$B$204,A145)))</x:f>
      </x:c>
      <x:c r="J145" s="174" t="str">
        <x:f>IF(A145="","",IF(OR(P145&lt;&gt;"",COUNTIFS(Lotes!$B$5:$B$204,A145,Lotes!$U$5:$U$204,1)&gt;0,Listas!$B$13&lt;&gt;"OK"),"n.a.",SUMIFS(Lotes!$L$5:$L$204,Lotes!$B$5:$B$204,A145)))</x:f>
      </x:c>
      <x:c r="K145" s="173" t="str">
        <x:f>IF(A145="","",IF(OR(P145&lt;&gt;"",COUNTIFS(Lotes!$B$5:$B$204,A145,Lotes!$U$5:$U$204,1)&gt;0,Listas!$B$13&lt;&gt;"OK"),"n.a.",COUNTIFS(Lotes!$B$5:$B$204,A145,Lotes!$J$5:$J$204,"&gt;0")))</x:f>
      </x:c>
      <x:c r="L145" s="173" t="str">
        <x:f>IF(A145="","",IF(OR(P145&lt;&gt;"",COUNTIFS(Lotes!$B$5:$B$204,A145,Lotes!$U$5:$U$204,1)&gt;0,Listas!$B$13&lt;&gt;"OK"),"n.a.",COUNTIFS(Lotes!$B$5:$B$204,A145,Lotes!$J$5:$J$204,"&gt;0",Lotes!$N$5:$N$204,"VENCIDO")))</x:f>
      </x:c>
      <x:c r="M145" s="173" t="str">
        <x:f>IF(A145="","",IF(OR(P145&lt;&gt;"",COUNTIFS(Lotes!$B$5:$B$204,A145,Lotes!$U$5:$U$204,1)&gt;0,Listas!$B$13&lt;&gt;"OK"),"n.a.",COUNTIFS(Lotes!$B$5:$B$204,A145,Lotes!$J$5:$J$204,"&gt;0",Lotes!$N$5:$N$204,"CRÍTICO")+COUNTIFS(Lotes!$B$5:$B$204,A145,Lotes!$J$5:$J$204,"&gt;0",Lotes!$N$5:$N$204,"VENCE NA JANELA")))</x:f>
      </x:c>
      <x:c r="N145" s="173" t="str">
        <x:f>IF(A145="","",IF(OR(P145&lt;&gt;"",COUNTIFS(Lotes!$B$5:$B$204,A145,Lotes!$U$5:$U$204,1)&gt;0,Listas!$B$13&lt;&gt;"OK"),"REVISAR DADOS",IF(H145="Inativo","INATIVO",IF(Q145&lt;=F145,"REPOR","OK"))))</x:f>
      </x:c>
      <x:c r="O145" s="27"/>
      <x:c r="P145" s="163" t="str">
        <x:f>IF(COUNTA(A145:H145,O145)=0,"",IF(OR(A145="",COUNTIFS($A$5:$A$204,A145)&lt;&gt;1),"SKU ausente ou duplicado",IF(OR(B145="",D145=""),"Produto ou unidade ausente",IF(OR(NOT(ISNUMBER(F145)),F145&lt;0,NOT(ISNUMBER(G145)),G145&lt;0),"Mínimo ou custo inválido",IF(AND(H145&lt;&gt;"Ativo",H145&lt;&gt;"Inativo"),"Status de produto inválido","")))))</x:f>
      </x:c>
      <x:c r="Q145" s="163" t="str">
        <x:f>IF(A145="","",IF(OR(P145&lt;&gt;"",COUNTIFS(Lotes!$B$5:$B$204,A145,Lotes!$U$5:$U$204,1)&gt;0,Listas!$B$13&lt;&gt;"OK"),"n.a.",SUMIFS(Lotes!$V$5:$V$204,Lotes!$B$5:$B$204,A145)))</x:f>
      </x:c>
      <x:c r="R145" s="163" t="n">
        <x:f>IF(P145="",0,1)</x:f>
        <x:v>0</x:v>
      </x:c>
      <x:c r="S145" s="163" t="n">
        <x:f>IF(COUNTA(A145:H145,O145)=0,0,IF(OR(Listas!$B$19="Todos",A145=Listas!$B$19,A145=""),1,0))</x:f>
        <x:v>0</x:v>
      </x:c>
      <x:c r="T145" s="163" t="n">
        <x:f>IF(S145=1,COUNTIFS($S$5:S145,1),0)</x:f>
        <x:v>0</x:v>
      </x:c>
      <x:c r="U145" s="1"/>
      <x:c r="V145" s="1"/>
      <x:c r="W145" s="1"/>
    </x:row>
    <x:row r="146" ht="32" customHeight="1">
      <x:c r="A146" s="170"/>
      <x:c r="B146" s="170"/>
      <x:c r="C146" s="170"/>
      <x:c r="D146" s="170"/>
      <x:c r="E146" s="170"/>
      <x:c r="F146" s="171"/>
      <x:c r="G146" s="172"/>
      <x:c r="H146" s="170"/>
      <x:c r="I146" s="173" t="str">
        <x:f>IF(A146="","",IF(OR(P146&lt;&gt;"",COUNTIFS(Lotes!$B$5:$B$204,A146,Lotes!$U$5:$U$204,1)&gt;0,Listas!$B$13&lt;&gt;"OK"),"n.a.",SUMIFS(Lotes!$J$5:$J$204,Lotes!$B$5:$B$204,A146)))</x:f>
      </x:c>
      <x:c r="J146" s="174" t="str">
        <x:f>IF(A146="","",IF(OR(P146&lt;&gt;"",COUNTIFS(Lotes!$B$5:$B$204,A146,Lotes!$U$5:$U$204,1)&gt;0,Listas!$B$13&lt;&gt;"OK"),"n.a.",SUMIFS(Lotes!$L$5:$L$204,Lotes!$B$5:$B$204,A146)))</x:f>
      </x:c>
      <x:c r="K146" s="173" t="str">
        <x:f>IF(A146="","",IF(OR(P146&lt;&gt;"",COUNTIFS(Lotes!$B$5:$B$204,A146,Lotes!$U$5:$U$204,1)&gt;0,Listas!$B$13&lt;&gt;"OK"),"n.a.",COUNTIFS(Lotes!$B$5:$B$204,A146,Lotes!$J$5:$J$204,"&gt;0")))</x:f>
      </x:c>
      <x:c r="L146" s="173" t="str">
        <x:f>IF(A146="","",IF(OR(P146&lt;&gt;"",COUNTIFS(Lotes!$B$5:$B$204,A146,Lotes!$U$5:$U$204,1)&gt;0,Listas!$B$13&lt;&gt;"OK"),"n.a.",COUNTIFS(Lotes!$B$5:$B$204,A146,Lotes!$J$5:$J$204,"&gt;0",Lotes!$N$5:$N$204,"VENCIDO")))</x:f>
      </x:c>
      <x:c r="M146" s="173" t="str">
        <x:f>IF(A146="","",IF(OR(P146&lt;&gt;"",COUNTIFS(Lotes!$B$5:$B$204,A146,Lotes!$U$5:$U$204,1)&gt;0,Listas!$B$13&lt;&gt;"OK"),"n.a.",COUNTIFS(Lotes!$B$5:$B$204,A146,Lotes!$J$5:$J$204,"&gt;0",Lotes!$N$5:$N$204,"CRÍTICO")+COUNTIFS(Lotes!$B$5:$B$204,A146,Lotes!$J$5:$J$204,"&gt;0",Lotes!$N$5:$N$204,"VENCE NA JANELA")))</x:f>
      </x:c>
      <x:c r="N146" s="173" t="str">
        <x:f>IF(A146="","",IF(OR(P146&lt;&gt;"",COUNTIFS(Lotes!$B$5:$B$204,A146,Lotes!$U$5:$U$204,1)&gt;0,Listas!$B$13&lt;&gt;"OK"),"REVISAR DADOS",IF(H146="Inativo","INATIVO",IF(Q146&lt;=F146,"REPOR","OK"))))</x:f>
      </x:c>
      <x:c r="O146" s="27"/>
      <x:c r="P146" s="163" t="str">
        <x:f>IF(COUNTA(A146:H146,O146)=0,"",IF(OR(A146="",COUNTIFS($A$5:$A$204,A146)&lt;&gt;1),"SKU ausente ou duplicado",IF(OR(B146="",D146=""),"Produto ou unidade ausente",IF(OR(NOT(ISNUMBER(F146)),F146&lt;0,NOT(ISNUMBER(G146)),G146&lt;0),"Mínimo ou custo inválido",IF(AND(H146&lt;&gt;"Ativo",H146&lt;&gt;"Inativo"),"Status de produto inválido","")))))</x:f>
      </x:c>
      <x:c r="Q146" s="163" t="str">
        <x:f>IF(A146="","",IF(OR(P146&lt;&gt;"",COUNTIFS(Lotes!$B$5:$B$204,A146,Lotes!$U$5:$U$204,1)&gt;0,Listas!$B$13&lt;&gt;"OK"),"n.a.",SUMIFS(Lotes!$V$5:$V$204,Lotes!$B$5:$B$204,A146)))</x:f>
      </x:c>
      <x:c r="R146" s="163" t="n">
        <x:f>IF(P146="",0,1)</x:f>
        <x:v>0</x:v>
      </x:c>
      <x:c r="S146" s="163" t="n">
        <x:f>IF(COUNTA(A146:H146,O146)=0,0,IF(OR(Listas!$B$19="Todos",A146=Listas!$B$19,A146=""),1,0))</x:f>
        <x:v>0</x:v>
      </x:c>
      <x:c r="T146" s="163" t="n">
        <x:f>IF(S146=1,COUNTIFS($S$5:S146,1),0)</x:f>
        <x:v>0</x:v>
      </x:c>
      <x:c r="U146" s="1"/>
      <x:c r="V146" s="1"/>
      <x:c r="W146" s="1"/>
    </x:row>
    <x:row r="147" ht="32" customHeight="1">
      <x:c r="A147" s="170"/>
      <x:c r="B147" s="170"/>
      <x:c r="C147" s="170"/>
      <x:c r="D147" s="170"/>
      <x:c r="E147" s="170"/>
      <x:c r="F147" s="171"/>
      <x:c r="G147" s="172"/>
      <x:c r="H147" s="170"/>
      <x:c r="I147" s="173" t="str">
        <x:f>IF(A147="","",IF(OR(P147&lt;&gt;"",COUNTIFS(Lotes!$B$5:$B$204,A147,Lotes!$U$5:$U$204,1)&gt;0,Listas!$B$13&lt;&gt;"OK"),"n.a.",SUMIFS(Lotes!$J$5:$J$204,Lotes!$B$5:$B$204,A147)))</x:f>
      </x:c>
      <x:c r="J147" s="174" t="str">
        <x:f>IF(A147="","",IF(OR(P147&lt;&gt;"",COUNTIFS(Lotes!$B$5:$B$204,A147,Lotes!$U$5:$U$204,1)&gt;0,Listas!$B$13&lt;&gt;"OK"),"n.a.",SUMIFS(Lotes!$L$5:$L$204,Lotes!$B$5:$B$204,A147)))</x:f>
      </x:c>
      <x:c r="K147" s="173" t="str">
        <x:f>IF(A147="","",IF(OR(P147&lt;&gt;"",COUNTIFS(Lotes!$B$5:$B$204,A147,Lotes!$U$5:$U$204,1)&gt;0,Listas!$B$13&lt;&gt;"OK"),"n.a.",COUNTIFS(Lotes!$B$5:$B$204,A147,Lotes!$J$5:$J$204,"&gt;0")))</x:f>
      </x:c>
      <x:c r="L147" s="173" t="str">
        <x:f>IF(A147="","",IF(OR(P147&lt;&gt;"",COUNTIFS(Lotes!$B$5:$B$204,A147,Lotes!$U$5:$U$204,1)&gt;0,Listas!$B$13&lt;&gt;"OK"),"n.a.",COUNTIFS(Lotes!$B$5:$B$204,A147,Lotes!$J$5:$J$204,"&gt;0",Lotes!$N$5:$N$204,"VENCIDO")))</x:f>
      </x:c>
      <x:c r="M147" s="173" t="str">
        <x:f>IF(A147="","",IF(OR(P147&lt;&gt;"",COUNTIFS(Lotes!$B$5:$B$204,A147,Lotes!$U$5:$U$204,1)&gt;0,Listas!$B$13&lt;&gt;"OK"),"n.a.",COUNTIFS(Lotes!$B$5:$B$204,A147,Lotes!$J$5:$J$204,"&gt;0",Lotes!$N$5:$N$204,"CRÍTICO")+COUNTIFS(Lotes!$B$5:$B$204,A147,Lotes!$J$5:$J$204,"&gt;0",Lotes!$N$5:$N$204,"VENCE NA JANELA")))</x:f>
      </x:c>
      <x:c r="N147" s="173" t="str">
        <x:f>IF(A147="","",IF(OR(P147&lt;&gt;"",COUNTIFS(Lotes!$B$5:$B$204,A147,Lotes!$U$5:$U$204,1)&gt;0,Listas!$B$13&lt;&gt;"OK"),"REVISAR DADOS",IF(H147="Inativo","INATIVO",IF(Q147&lt;=F147,"REPOR","OK"))))</x:f>
      </x:c>
      <x:c r="O147" s="27"/>
      <x:c r="P147" s="163" t="str">
        <x:f>IF(COUNTA(A147:H147,O147)=0,"",IF(OR(A147="",COUNTIFS($A$5:$A$204,A147)&lt;&gt;1),"SKU ausente ou duplicado",IF(OR(B147="",D147=""),"Produto ou unidade ausente",IF(OR(NOT(ISNUMBER(F147)),F147&lt;0,NOT(ISNUMBER(G147)),G147&lt;0),"Mínimo ou custo inválido",IF(AND(H147&lt;&gt;"Ativo",H147&lt;&gt;"Inativo"),"Status de produto inválido","")))))</x:f>
      </x:c>
      <x:c r="Q147" s="163" t="str">
        <x:f>IF(A147="","",IF(OR(P147&lt;&gt;"",COUNTIFS(Lotes!$B$5:$B$204,A147,Lotes!$U$5:$U$204,1)&gt;0,Listas!$B$13&lt;&gt;"OK"),"n.a.",SUMIFS(Lotes!$V$5:$V$204,Lotes!$B$5:$B$204,A147)))</x:f>
      </x:c>
      <x:c r="R147" s="163" t="n">
        <x:f>IF(P147="",0,1)</x:f>
        <x:v>0</x:v>
      </x:c>
      <x:c r="S147" s="163" t="n">
        <x:f>IF(COUNTA(A147:H147,O147)=0,0,IF(OR(Listas!$B$19="Todos",A147=Listas!$B$19,A147=""),1,0))</x:f>
        <x:v>0</x:v>
      </x:c>
      <x:c r="T147" s="163" t="n">
        <x:f>IF(S147=1,COUNTIFS($S$5:S147,1),0)</x:f>
        <x:v>0</x:v>
      </x:c>
      <x:c r="U147" s="1"/>
      <x:c r="V147" s="1"/>
      <x:c r="W147" s="1"/>
    </x:row>
    <x:row r="148" ht="32" customHeight="1">
      <x:c r="A148" s="170"/>
      <x:c r="B148" s="170"/>
      <x:c r="C148" s="170"/>
      <x:c r="D148" s="170"/>
      <x:c r="E148" s="170"/>
      <x:c r="F148" s="171"/>
      <x:c r="G148" s="172"/>
      <x:c r="H148" s="170"/>
      <x:c r="I148" s="173" t="str">
        <x:f>IF(A148="","",IF(OR(P148&lt;&gt;"",COUNTIFS(Lotes!$B$5:$B$204,A148,Lotes!$U$5:$U$204,1)&gt;0,Listas!$B$13&lt;&gt;"OK"),"n.a.",SUMIFS(Lotes!$J$5:$J$204,Lotes!$B$5:$B$204,A148)))</x:f>
      </x:c>
      <x:c r="J148" s="174" t="str">
        <x:f>IF(A148="","",IF(OR(P148&lt;&gt;"",COUNTIFS(Lotes!$B$5:$B$204,A148,Lotes!$U$5:$U$204,1)&gt;0,Listas!$B$13&lt;&gt;"OK"),"n.a.",SUMIFS(Lotes!$L$5:$L$204,Lotes!$B$5:$B$204,A148)))</x:f>
      </x:c>
      <x:c r="K148" s="173" t="str">
        <x:f>IF(A148="","",IF(OR(P148&lt;&gt;"",COUNTIFS(Lotes!$B$5:$B$204,A148,Lotes!$U$5:$U$204,1)&gt;0,Listas!$B$13&lt;&gt;"OK"),"n.a.",COUNTIFS(Lotes!$B$5:$B$204,A148,Lotes!$J$5:$J$204,"&gt;0")))</x:f>
      </x:c>
      <x:c r="L148" s="173" t="str">
        <x:f>IF(A148="","",IF(OR(P148&lt;&gt;"",COUNTIFS(Lotes!$B$5:$B$204,A148,Lotes!$U$5:$U$204,1)&gt;0,Listas!$B$13&lt;&gt;"OK"),"n.a.",COUNTIFS(Lotes!$B$5:$B$204,A148,Lotes!$J$5:$J$204,"&gt;0",Lotes!$N$5:$N$204,"VENCIDO")))</x:f>
      </x:c>
      <x:c r="M148" s="173" t="str">
        <x:f>IF(A148="","",IF(OR(P148&lt;&gt;"",COUNTIFS(Lotes!$B$5:$B$204,A148,Lotes!$U$5:$U$204,1)&gt;0,Listas!$B$13&lt;&gt;"OK"),"n.a.",COUNTIFS(Lotes!$B$5:$B$204,A148,Lotes!$J$5:$J$204,"&gt;0",Lotes!$N$5:$N$204,"CRÍTICO")+COUNTIFS(Lotes!$B$5:$B$204,A148,Lotes!$J$5:$J$204,"&gt;0",Lotes!$N$5:$N$204,"VENCE NA JANELA")))</x:f>
      </x:c>
      <x:c r="N148" s="173" t="str">
        <x:f>IF(A148="","",IF(OR(P148&lt;&gt;"",COUNTIFS(Lotes!$B$5:$B$204,A148,Lotes!$U$5:$U$204,1)&gt;0,Listas!$B$13&lt;&gt;"OK"),"REVISAR DADOS",IF(H148="Inativo","INATIVO",IF(Q148&lt;=F148,"REPOR","OK"))))</x:f>
      </x:c>
      <x:c r="O148" s="27"/>
      <x:c r="P148" s="163" t="str">
        <x:f>IF(COUNTA(A148:H148,O148)=0,"",IF(OR(A148="",COUNTIFS($A$5:$A$204,A148)&lt;&gt;1),"SKU ausente ou duplicado",IF(OR(B148="",D148=""),"Produto ou unidade ausente",IF(OR(NOT(ISNUMBER(F148)),F148&lt;0,NOT(ISNUMBER(G148)),G148&lt;0),"Mínimo ou custo inválido",IF(AND(H148&lt;&gt;"Ativo",H148&lt;&gt;"Inativo"),"Status de produto inválido","")))))</x:f>
      </x:c>
      <x:c r="Q148" s="163" t="str">
        <x:f>IF(A148="","",IF(OR(P148&lt;&gt;"",COUNTIFS(Lotes!$B$5:$B$204,A148,Lotes!$U$5:$U$204,1)&gt;0,Listas!$B$13&lt;&gt;"OK"),"n.a.",SUMIFS(Lotes!$V$5:$V$204,Lotes!$B$5:$B$204,A148)))</x:f>
      </x:c>
      <x:c r="R148" s="163" t="n">
        <x:f>IF(P148="",0,1)</x:f>
        <x:v>0</x:v>
      </x:c>
      <x:c r="S148" s="163" t="n">
        <x:f>IF(COUNTA(A148:H148,O148)=0,0,IF(OR(Listas!$B$19="Todos",A148=Listas!$B$19,A148=""),1,0))</x:f>
        <x:v>0</x:v>
      </x:c>
      <x:c r="T148" s="163" t="n">
        <x:f>IF(S148=1,COUNTIFS($S$5:S148,1),0)</x:f>
        <x:v>0</x:v>
      </x:c>
      <x:c r="U148" s="1"/>
      <x:c r="V148" s="1"/>
      <x:c r="W148" s="1"/>
    </x:row>
    <x:row r="149" ht="32" customHeight="1">
      <x:c r="A149" s="170"/>
      <x:c r="B149" s="170"/>
      <x:c r="C149" s="170"/>
      <x:c r="D149" s="170"/>
      <x:c r="E149" s="170"/>
      <x:c r="F149" s="171"/>
      <x:c r="G149" s="172"/>
      <x:c r="H149" s="170"/>
      <x:c r="I149" s="173" t="str">
        <x:f>IF(A149="","",IF(OR(P149&lt;&gt;"",COUNTIFS(Lotes!$B$5:$B$204,A149,Lotes!$U$5:$U$204,1)&gt;0,Listas!$B$13&lt;&gt;"OK"),"n.a.",SUMIFS(Lotes!$J$5:$J$204,Lotes!$B$5:$B$204,A149)))</x:f>
      </x:c>
      <x:c r="J149" s="174" t="str">
        <x:f>IF(A149="","",IF(OR(P149&lt;&gt;"",COUNTIFS(Lotes!$B$5:$B$204,A149,Lotes!$U$5:$U$204,1)&gt;0,Listas!$B$13&lt;&gt;"OK"),"n.a.",SUMIFS(Lotes!$L$5:$L$204,Lotes!$B$5:$B$204,A149)))</x:f>
      </x:c>
      <x:c r="K149" s="173" t="str">
        <x:f>IF(A149="","",IF(OR(P149&lt;&gt;"",COUNTIFS(Lotes!$B$5:$B$204,A149,Lotes!$U$5:$U$204,1)&gt;0,Listas!$B$13&lt;&gt;"OK"),"n.a.",COUNTIFS(Lotes!$B$5:$B$204,A149,Lotes!$J$5:$J$204,"&gt;0")))</x:f>
      </x:c>
      <x:c r="L149" s="173" t="str">
        <x:f>IF(A149="","",IF(OR(P149&lt;&gt;"",COUNTIFS(Lotes!$B$5:$B$204,A149,Lotes!$U$5:$U$204,1)&gt;0,Listas!$B$13&lt;&gt;"OK"),"n.a.",COUNTIFS(Lotes!$B$5:$B$204,A149,Lotes!$J$5:$J$204,"&gt;0",Lotes!$N$5:$N$204,"VENCIDO")))</x:f>
      </x:c>
      <x:c r="M149" s="173" t="str">
        <x:f>IF(A149="","",IF(OR(P149&lt;&gt;"",COUNTIFS(Lotes!$B$5:$B$204,A149,Lotes!$U$5:$U$204,1)&gt;0,Listas!$B$13&lt;&gt;"OK"),"n.a.",COUNTIFS(Lotes!$B$5:$B$204,A149,Lotes!$J$5:$J$204,"&gt;0",Lotes!$N$5:$N$204,"CRÍTICO")+COUNTIFS(Lotes!$B$5:$B$204,A149,Lotes!$J$5:$J$204,"&gt;0",Lotes!$N$5:$N$204,"VENCE NA JANELA")))</x:f>
      </x:c>
      <x:c r="N149" s="173" t="str">
        <x:f>IF(A149="","",IF(OR(P149&lt;&gt;"",COUNTIFS(Lotes!$B$5:$B$204,A149,Lotes!$U$5:$U$204,1)&gt;0,Listas!$B$13&lt;&gt;"OK"),"REVISAR DADOS",IF(H149="Inativo","INATIVO",IF(Q149&lt;=F149,"REPOR","OK"))))</x:f>
      </x:c>
      <x:c r="O149" s="27"/>
      <x:c r="P149" s="163" t="str">
        <x:f>IF(COUNTA(A149:H149,O149)=0,"",IF(OR(A149="",COUNTIFS($A$5:$A$204,A149)&lt;&gt;1),"SKU ausente ou duplicado",IF(OR(B149="",D149=""),"Produto ou unidade ausente",IF(OR(NOT(ISNUMBER(F149)),F149&lt;0,NOT(ISNUMBER(G149)),G149&lt;0),"Mínimo ou custo inválido",IF(AND(H149&lt;&gt;"Ativo",H149&lt;&gt;"Inativo"),"Status de produto inválido","")))))</x:f>
      </x:c>
      <x:c r="Q149" s="163" t="str">
        <x:f>IF(A149="","",IF(OR(P149&lt;&gt;"",COUNTIFS(Lotes!$B$5:$B$204,A149,Lotes!$U$5:$U$204,1)&gt;0,Listas!$B$13&lt;&gt;"OK"),"n.a.",SUMIFS(Lotes!$V$5:$V$204,Lotes!$B$5:$B$204,A149)))</x:f>
      </x:c>
      <x:c r="R149" s="163" t="n">
        <x:f>IF(P149="",0,1)</x:f>
        <x:v>0</x:v>
      </x:c>
      <x:c r="S149" s="163" t="n">
        <x:f>IF(COUNTA(A149:H149,O149)=0,0,IF(OR(Listas!$B$19="Todos",A149=Listas!$B$19,A149=""),1,0))</x:f>
        <x:v>0</x:v>
      </x:c>
      <x:c r="T149" s="163" t="n">
        <x:f>IF(S149=1,COUNTIFS($S$5:S149,1),0)</x:f>
        <x:v>0</x:v>
      </x:c>
      <x:c r="U149" s="1"/>
      <x:c r="V149" s="1"/>
      <x:c r="W149" s="1"/>
    </x:row>
    <x:row r="150" ht="32" customHeight="1">
      <x:c r="A150" s="170"/>
      <x:c r="B150" s="170"/>
      <x:c r="C150" s="170"/>
      <x:c r="D150" s="170"/>
      <x:c r="E150" s="170"/>
      <x:c r="F150" s="171"/>
      <x:c r="G150" s="172"/>
      <x:c r="H150" s="170"/>
      <x:c r="I150" s="173" t="str">
        <x:f>IF(A150="","",IF(OR(P150&lt;&gt;"",COUNTIFS(Lotes!$B$5:$B$204,A150,Lotes!$U$5:$U$204,1)&gt;0,Listas!$B$13&lt;&gt;"OK"),"n.a.",SUMIFS(Lotes!$J$5:$J$204,Lotes!$B$5:$B$204,A150)))</x:f>
      </x:c>
      <x:c r="J150" s="174" t="str">
        <x:f>IF(A150="","",IF(OR(P150&lt;&gt;"",COUNTIFS(Lotes!$B$5:$B$204,A150,Lotes!$U$5:$U$204,1)&gt;0,Listas!$B$13&lt;&gt;"OK"),"n.a.",SUMIFS(Lotes!$L$5:$L$204,Lotes!$B$5:$B$204,A150)))</x:f>
      </x:c>
      <x:c r="K150" s="173" t="str">
        <x:f>IF(A150="","",IF(OR(P150&lt;&gt;"",COUNTIFS(Lotes!$B$5:$B$204,A150,Lotes!$U$5:$U$204,1)&gt;0,Listas!$B$13&lt;&gt;"OK"),"n.a.",COUNTIFS(Lotes!$B$5:$B$204,A150,Lotes!$J$5:$J$204,"&gt;0")))</x:f>
      </x:c>
      <x:c r="L150" s="173" t="str">
        <x:f>IF(A150="","",IF(OR(P150&lt;&gt;"",COUNTIFS(Lotes!$B$5:$B$204,A150,Lotes!$U$5:$U$204,1)&gt;0,Listas!$B$13&lt;&gt;"OK"),"n.a.",COUNTIFS(Lotes!$B$5:$B$204,A150,Lotes!$J$5:$J$204,"&gt;0",Lotes!$N$5:$N$204,"VENCIDO")))</x:f>
      </x:c>
      <x:c r="M150" s="173" t="str">
        <x:f>IF(A150="","",IF(OR(P150&lt;&gt;"",COUNTIFS(Lotes!$B$5:$B$204,A150,Lotes!$U$5:$U$204,1)&gt;0,Listas!$B$13&lt;&gt;"OK"),"n.a.",COUNTIFS(Lotes!$B$5:$B$204,A150,Lotes!$J$5:$J$204,"&gt;0",Lotes!$N$5:$N$204,"CRÍTICO")+COUNTIFS(Lotes!$B$5:$B$204,A150,Lotes!$J$5:$J$204,"&gt;0",Lotes!$N$5:$N$204,"VENCE NA JANELA")))</x:f>
      </x:c>
      <x:c r="N150" s="173" t="str">
        <x:f>IF(A150="","",IF(OR(P150&lt;&gt;"",COUNTIFS(Lotes!$B$5:$B$204,A150,Lotes!$U$5:$U$204,1)&gt;0,Listas!$B$13&lt;&gt;"OK"),"REVISAR DADOS",IF(H150="Inativo","INATIVO",IF(Q150&lt;=F150,"REPOR","OK"))))</x:f>
      </x:c>
      <x:c r="O150" s="27"/>
      <x:c r="P150" s="163" t="str">
        <x:f>IF(COUNTA(A150:H150,O150)=0,"",IF(OR(A150="",COUNTIFS($A$5:$A$204,A150)&lt;&gt;1),"SKU ausente ou duplicado",IF(OR(B150="",D150=""),"Produto ou unidade ausente",IF(OR(NOT(ISNUMBER(F150)),F150&lt;0,NOT(ISNUMBER(G150)),G150&lt;0),"Mínimo ou custo inválido",IF(AND(H150&lt;&gt;"Ativo",H150&lt;&gt;"Inativo"),"Status de produto inválido","")))))</x:f>
      </x:c>
      <x:c r="Q150" s="163" t="str">
        <x:f>IF(A150="","",IF(OR(P150&lt;&gt;"",COUNTIFS(Lotes!$B$5:$B$204,A150,Lotes!$U$5:$U$204,1)&gt;0,Listas!$B$13&lt;&gt;"OK"),"n.a.",SUMIFS(Lotes!$V$5:$V$204,Lotes!$B$5:$B$204,A150)))</x:f>
      </x:c>
      <x:c r="R150" s="163" t="n">
        <x:f>IF(P150="",0,1)</x:f>
        <x:v>0</x:v>
      </x:c>
      <x:c r="S150" s="163" t="n">
        <x:f>IF(COUNTA(A150:H150,O150)=0,0,IF(OR(Listas!$B$19="Todos",A150=Listas!$B$19,A150=""),1,0))</x:f>
        <x:v>0</x:v>
      </x:c>
      <x:c r="T150" s="163" t="n">
        <x:f>IF(S150=1,COUNTIFS($S$5:S150,1),0)</x:f>
        <x:v>0</x:v>
      </x:c>
      <x:c r="U150" s="1"/>
      <x:c r="V150" s="1"/>
      <x:c r="W150" s="1"/>
    </x:row>
    <x:row r="151" ht="32" customHeight="1">
      <x:c r="A151" s="170"/>
      <x:c r="B151" s="170"/>
      <x:c r="C151" s="170"/>
      <x:c r="D151" s="170"/>
      <x:c r="E151" s="170"/>
      <x:c r="F151" s="171"/>
      <x:c r="G151" s="172"/>
      <x:c r="H151" s="170"/>
      <x:c r="I151" s="173" t="str">
        <x:f>IF(A151="","",IF(OR(P151&lt;&gt;"",COUNTIFS(Lotes!$B$5:$B$204,A151,Lotes!$U$5:$U$204,1)&gt;0,Listas!$B$13&lt;&gt;"OK"),"n.a.",SUMIFS(Lotes!$J$5:$J$204,Lotes!$B$5:$B$204,A151)))</x:f>
      </x:c>
      <x:c r="J151" s="174" t="str">
        <x:f>IF(A151="","",IF(OR(P151&lt;&gt;"",COUNTIFS(Lotes!$B$5:$B$204,A151,Lotes!$U$5:$U$204,1)&gt;0,Listas!$B$13&lt;&gt;"OK"),"n.a.",SUMIFS(Lotes!$L$5:$L$204,Lotes!$B$5:$B$204,A151)))</x:f>
      </x:c>
      <x:c r="K151" s="173" t="str">
        <x:f>IF(A151="","",IF(OR(P151&lt;&gt;"",COUNTIFS(Lotes!$B$5:$B$204,A151,Lotes!$U$5:$U$204,1)&gt;0,Listas!$B$13&lt;&gt;"OK"),"n.a.",COUNTIFS(Lotes!$B$5:$B$204,A151,Lotes!$J$5:$J$204,"&gt;0")))</x:f>
      </x:c>
      <x:c r="L151" s="173" t="str">
        <x:f>IF(A151="","",IF(OR(P151&lt;&gt;"",COUNTIFS(Lotes!$B$5:$B$204,A151,Lotes!$U$5:$U$204,1)&gt;0,Listas!$B$13&lt;&gt;"OK"),"n.a.",COUNTIFS(Lotes!$B$5:$B$204,A151,Lotes!$J$5:$J$204,"&gt;0",Lotes!$N$5:$N$204,"VENCIDO")))</x:f>
      </x:c>
      <x:c r="M151" s="173" t="str">
        <x:f>IF(A151="","",IF(OR(P151&lt;&gt;"",COUNTIFS(Lotes!$B$5:$B$204,A151,Lotes!$U$5:$U$204,1)&gt;0,Listas!$B$13&lt;&gt;"OK"),"n.a.",COUNTIFS(Lotes!$B$5:$B$204,A151,Lotes!$J$5:$J$204,"&gt;0",Lotes!$N$5:$N$204,"CRÍTICO")+COUNTIFS(Lotes!$B$5:$B$204,A151,Lotes!$J$5:$J$204,"&gt;0",Lotes!$N$5:$N$204,"VENCE NA JANELA")))</x:f>
      </x:c>
      <x:c r="N151" s="173" t="str">
        <x:f>IF(A151="","",IF(OR(P151&lt;&gt;"",COUNTIFS(Lotes!$B$5:$B$204,A151,Lotes!$U$5:$U$204,1)&gt;0,Listas!$B$13&lt;&gt;"OK"),"REVISAR DADOS",IF(H151="Inativo","INATIVO",IF(Q151&lt;=F151,"REPOR","OK"))))</x:f>
      </x:c>
      <x:c r="O151" s="27"/>
      <x:c r="P151" s="163" t="str">
        <x:f>IF(COUNTA(A151:H151,O151)=0,"",IF(OR(A151="",COUNTIFS($A$5:$A$204,A151)&lt;&gt;1),"SKU ausente ou duplicado",IF(OR(B151="",D151=""),"Produto ou unidade ausente",IF(OR(NOT(ISNUMBER(F151)),F151&lt;0,NOT(ISNUMBER(G151)),G151&lt;0),"Mínimo ou custo inválido",IF(AND(H151&lt;&gt;"Ativo",H151&lt;&gt;"Inativo"),"Status de produto inválido","")))))</x:f>
      </x:c>
      <x:c r="Q151" s="163" t="str">
        <x:f>IF(A151="","",IF(OR(P151&lt;&gt;"",COUNTIFS(Lotes!$B$5:$B$204,A151,Lotes!$U$5:$U$204,1)&gt;0,Listas!$B$13&lt;&gt;"OK"),"n.a.",SUMIFS(Lotes!$V$5:$V$204,Lotes!$B$5:$B$204,A151)))</x:f>
      </x:c>
      <x:c r="R151" s="163" t="n">
        <x:f>IF(P151="",0,1)</x:f>
        <x:v>0</x:v>
      </x:c>
      <x:c r="S151" s="163" t="n">
        <x:f>IF(COUNTA(A151:H151,O151)=0,0,IF(OR(Listas!$B$19="Todos",A151=Listas!$B$19,A151=""),1,0))</x:f>
        <x:v>0</x:v>
      </x:c>
      <x:c r="T151" s="163" t="n">
        <x:f>IF(S151=1,COUNTIFS($S$5:S151,1),0)</x:f>
        <x:v>0</x:v>
      </x:c>
      <x:c r="U151" s="1"/>
      <x:c r="V151" s="1"/>
      <x:c r="W151" s="1"/>
    </x:row>
    <x:row r="152" ht="32" customHeight="1">
      <x:c r="A152" s="170"/>
      <x:c r="B152" s="170"/>
      <x:c r="C152" s="170"/>
      <x:c r="D152" s="170"/>
      <x:c r="E152" s="170"/>
      <x:c r="F152" s="171"/>
      <x:c r="G152" s="172"/>
      <x:c r="H152" s="170"/>
      <x:c r="I152" s="173" t="str">
        <x:f>IF(A152="","",IF(OR(P152&lt;&gt;"",COUNTIFS(Lotes!$B$5:$B$204,A152,Lotes!$U$5:$U$204,1)&gt;0,Listas!$B$13&lt;&gt;"OK"),"n.a.",SUMIFS(Lotes!$J$5:$J$204,Lotes!$B$5:$B$204,A152)))</x:f>
      </x:c>
      <x:c r="J152" s="174" t="str">
        <x:f>IF(A152="","",IF(OR(P152&lt;&gt;"",COUNTIFS(Lotes!$B$5:$B$204,A152,Lotes!$U$5:$U$204,1)&gt;0,Listas!$B$13&lt;&gt;"OK"),"n.a.",SUMIFS(Lotes!$L$5:$L$204,Lotes!$B$5:$B$204,A152)))</x:f>
      </x:c>
      <x:c r="K152" s="173" t="str">
        <x:f>IF(A152="","",IF(OR(P152&lt;&gt;"",COUNTIFS(Lotes!$B$5:$B$204,A152,Lotes!$U$5:$U$204,1)&gt;0,Listas!$B$13&lt;&gt;"OK"),"n.a.",COUNTIFS(Lotes!$B$5:$B$204,A152,Lotes!$J$5:$J$204,"&gt;0")))</x:f>
      </x:c>
      <x:c r="L152" s="173" t="str">
        <x:f>IF(A152="","",IF(OR(P152&lt;&gt;"",COUNTIFS(Lotes!$B$5:$B$204,A152,Lotes!$U$5:$U$204,1)&gt;0,Listas!$B$13&lt;&gt;"OK"),"n.a.",COUNTIFS(Lotes!$B$5:$B$204,A152,Lotes!$J$5:$J$204,"&gt;0",Lotes!$N$5:$N$204,"VENCIDO")))</x:f>
      </x:c>
      <x:c r="M152" s="173" t="str">
        <x:f>IF(A152="","",IF(OR(P152&lt;&gt;"",COUNTIFS(Lotes!$B$5:$B$204,A152,Lotes!$U$5:$U$204,1)&gt;0,Listas!$B$13&lt;&gt;"OK"),"n.a.",COUNTIFS(Lotes!$B$5:$B$204,A152,Lotes!$J$5:$J$204,"&gt;0",Lotes!$N$5:$N$204,"CRÍTICO")+COUNTIFS(Lotes!$B$5:$B$204,A152,Lotes!$J$5:$J$204,"&gt;0",Lotes!$N$5:$N$204,"VENCE NA JANELA")))</x:f>
      </x:c>
      <x:c r="N152" s="173" t="str">
        <x:f>IF(A152="","",IF(OR(P152&lt;&gt;"",COUNTIFS(Lotes!$B$5:$B$204,A152,Lotes!$U$5:$U$204,1)&gt;0,Listas!$B$13&lt;&gt;"OK"),"REVISAR DADOS",IF(H152="Inativo","INATIVO",IF(Q152&lt;=F152,"REPOR","OK"))))</x:f>
      </x:c>
      <x:c r="O152" s="27"/>
      <x:c r="P152" s="163" t="str">
        <x:f>IF(COUNTA(A152:H152,O152)=0,"",IF(OR(A152="",COUNTIFS($A$5:$A$204,A152)&lt;&gt;1),"SKU ausente ou duplicado",IF(OR(B152="",D152=""),"Produto ou unidade ausente",IF(OR(NOT(ISNUMBER(F152)),F152&lt;0,NOT(ISNUMBER(G152)),G152&lt;0),"Mínimo ou custo inválido",IF(AND(H152&lt;&gt;"Ativo",H152&lt;&gt;"Inativo"),"Status de produto inválido","")))))</x:f>
      </x:c>
      <x:c r="Q152" s="163" t="str">
        <x:f>IF(A152="","",IF(OR(P152&lt;&gt;"",COUNTIFS(Lotes!$B$5:$B$204,A152,Lotes!$U$5:$U$204,1)&gt;0,Listas!$B$13&lt;&gt;"OK"),"n.a.",SUMIFS(Lotes!$V$5:$V$204,Lotes!$B$5:$B$204,A152)))</x:f>
      </x:c>
      <x:c r="R152" s="163" t="n">
        <x:f>IF(P152="",0,1)</x:f>
        <x:v>0</x:v>
      </x:c>
      <x:c r="S152" s="163" t="n">
        <x:f>IF(COUNTA(A152:H152,O152)=0,0,IF(OR(Listas!$B$19="Todos",A152=Listas!$B$19,A152=""),1,0))</x:f>
        <x:v>0</x:v>
      </x:c>
      <x:c r="T152" s="163" t="n">
        <x:f>IF(S152=1,COUNTIFS($S$5:S152,1),0)</x:f>
        <x:v>0</x:v>
      </x:c>
      <x:c r="U152" s="1"/>
      <x:c r="V152" s="1"/>
      <x:c r="W152" s="1"/>
    </x:row>
    <x:row r="153" ht="32" customHeight="1">
      <x:c r="A153" s="170"/>
      <x:c r="B153" s="170"/>
      <x:c r="C153" s="170"/>
      <x:c r="D153" s="170"/>
      <x:c r="E153" s="170"/>
      <x:c r="F153" s="171"/>
      <x:c r="G153" s="172"/>
      <x:c r="H153" s="170"/>
      <x:c r="I153" s="173" t="str">
        <x:f>IF(A153="","",IF(OR(P153&lt;&gt;"",COUNTIFS(Lotes!$B$5:$B$204,A153,Lotes!$U$5:$U$204,1)&gt;0,Listas!$B$13&lt;&gt;"OK"),"n.a.",SUMIFS(Lotes!$J$5:$J$204,Lotes!$B$5:$B$204,A153)))</x:f>
      </x:c>
      <x:c r="J153" s="174" t="str">
        <x:f>IF(A153="","",IF(OR(P153&lt;&gt;"",COUNTIFS(Lotes!$B$5:$B$204,A153,Lotes!$U$5:$U$204,1)&gt;0,Listas!$B$13&lt;&gt;"OK"),"n.a.",SUMIFS(Lotes!$L$5:$L$204,Lotes!$B$5:$B$204,A153)))</x:f>
      </x:c>
      <x:c r="K153" s="173" t="str">
        <x:f>IF(A153="","",IF(OR(P153&lt;&gt;"",COUNTIFS(Lotes!$B$5:$B$204,A153,Lotes!$U$5:$U$204,1)&gt;0,Listas!$B$13&lt;&gt;"OK"),"n.a.",COUNTIFS(Lotes!$B$5:$B$204,A153,Lotes!$J$5:$J$204,"&gt;0")))</x:f>
      </x:c>
      <x:c r="L153" s="173" t="str">
        <x:f>IF(A153="","",IF(OR(P153&lt;&gt;"",COUNTIFS(Lotes!$B$5:$B$204,A153,Lotes!$U$5:$U$204,1)&gt;0,Listas!$B$13&lt;&gt;"OK"),"n.a.",COUNTIFS(Lotes!$B$5:$B$204,A153,Lotes!$J$5:$J$204,"&gt;0",Lotes!$N$5:$N$204,"VENCIDO")))</x:f>
      </x:c>
      <x:c r="M153" s="173" t="str">
        <x:f>IF(A153="","",IF(OR(P153&lt;&gt;"",COUNTIFS(Lotes!$B$5:$B$204,A153,Lotes!$U$5:$U$204,1)&gt;0,Listas!$B$13&lt;&gt;"OK"),"n.a.",COUNTIFS(Lotes!$B$5:$B$204,A153,Lotes!$J$5:$J$204,"&gt;0",Lotes!$N$5:$N$204,"CRÍTICO")+COUNTIFS(Lotes!$B$5:$B$204,A153,Lotes!$J$5:$J$204,"&gt;0",Lotes!$N$5:$N$204,"VENCE NA JANELA")))</x:f>
      </x:c>
      <x:c r="N153" s="173" t="str">
        <x:f>IF(A153="","",IF(OR(P153&lt;&gt;"",COUNTIFS(Lotes!$B$5:$B$204,A153,Lotes!$U$5:$U$204,1)&gt;0,Listas!$B$13&lt;&gt;"OK"),"REVISAR DADOS",IF(H153="Inativo","INATIVO",IF(Q153&lt;=F153,"REPOR","OK"))))</x:f>
      </x:c>
      <x:c r="O153" s="27"/>
      <x:c r="P153" s="163" t="str">
        <x:f>IF(COUNTA(A153:H153,O153)=0,"",IF(OR(A153="",COUNTIFS($A$5:$A$204,A153)&lt;&gt;1),"SKU ausente ou duplicado",IF(OR(B153="",D153=""),"Produto ou unidade ausente",IF(OR(NOT(ISNUMBER(F153)),F153&lt;0,NOT(ISNUMBER(G153)),G153&lt;0),"Mínimo ou custo inválido",IF(AND(H153&lt;&gt;"Ativo",H153&lt;&gt;"Inativo"),"Status de produto inválido","")))))</x:f>
      </x:c>
      <x:c r="Q153" s="163" t="str">
        <x:f>IF(A153="","",IF(OR(P153&lt;&gt;"",COUNTIFS(Lotes!$B$5:$B$204,A153,Lotes!$U$5:$U$204,1)&gt;0,Listas!$B$13&lt;&gt;"OK"),"n.a.",SUMIFS(Lotes!$V$5:$V$204,Lotes!$B$5:$B$204,A153)))</x:f>
      </x:c>
      <x:c r="R153" s="163" t="n">
        <x:f>IF(P153="",0,1)</x:f>
        <x:v>0</x:v>
      </x:c>
      <x:c r="S153" s="163" t="n">
        <x:f>IF(COUNTA(A153:H153,O153)=0,0,IF(OR(Listas!$B$19="Todos",A153=Listas!$B$19,A153=""),1,0))</x:f>
        <x:v>0</x:v>
      </x:c>
      <x:c r="T153" s="163" t="n">
        <x:f>IF(S153=1,COUNTIFS($S$5:S153,1),0)</x:f>
        <x:v>0</x:v>
      </x:c>
      <x:c r="U153" s="1"/>
      <x:c r="V153" s="1"/>
      <x:c r="W153" s="1"/>
    </x:row>
    <x:row r="154" ht="32" customHeight="1">
      <x:c r="A154" s="170"/>
      <x:c r="B154" s="170"/>
      <x:c r="C154" s="170"/>
      <x:c r="D154" s="170"/>
      <x:c r="E154" s="170"/>
      <x:c r="F154" s="171"/>
      <x:c r="G154" s="172"/>
      <x:c r="H154" s="170"/>
      <x:c r="I154" s="173" t="str">
        <x:f>IF(A154="","",IF(OR(P154&lt;&gt;"",COUNTIFS(Lotes!$B$5:$B$204,A154,Lotes!$U$5:$U$204,1)&gt;0,Listas!$B$13&lt;&gt;"OK"),"n.a.",SUMIFS(Lotes!$J$5:$J$204,Lotes!$B$5:$B$204,A154)))</x:f>
      </x:c>
      <x:c r="J154" s="174" t="str">
        <x:f>IF(A154="","",IF(OR(P154&lt;&gt;"",COUNTIFS(Lotes!$B$5:$B$204,A154,Lotes!$U$5:$U$204,1)&gt;0,Listas!$B$13&lt;&gt;"OK"),"n.a.",SUMIFS(Lotes!$L$5:$L$204,Lotes!$B$5:$B$204,A154)))</x:f>
      </x:c>
      <x:c r="K154" s="173" t="str">
        <x:f>IF(A154="","",IF(OR(P154&lt;&gt;"",COUNTIFS(Lotes!$B$5:$B$204,A154,Lotes!$U$5:$U$204,1)&gt;0,Listas!$B$13&lt;&gt;"OK"),"n.a.",COUNTIFS(Lotes!$B$5:$B$204,A154,Lotes!$J$5:$J$204,"&gt;0")))</x:f>
      </x:c>
      <x:c r="L154" s="173" t="str">
        <x:f>IF(A154="","",IF(OR(P154&lt;&gt;"",COUNTIFS(Lotes!$B$5:$B$204,A154,Lotes!$U$5:$U$204,1)&gt;0,Listas!$B$13&lt;&gt;"OK"),"n.a.",COUNTIFS(Lotes!$B$5:$B$204,A154,Lotes!$J$5:$J$204,"&gt;0",Lotes!$N$5:$N$204,"VENCIDO")))</x:f>
      </x:c>
      <x:c r="M154" s="173" t="str">
        <x:f>IF(A154="","",IF(OR(P154&lt;&gt;"",COUNTIFS(Lotes!$B$5:$B$204,A154,Lotes!$U$5:$U$204,1)&gt;0,Listas!$B$13&lt;&gt;"OK"),"n.a.",COUNTIFS(Lotes!$B$5:$B$204,A154,Lotes!$J$5:$J$204,"&gt;0",Lotes!$N$5:$N$204,"CRÍTICO")+COUNTIFS(Lotes!$B$5:$B$204,A154,Lotes!$J$5:$J$204,"&gt;0",Lotes!$N$5:$N$204,"VENCE NA JANELA")))</x:f>
      </x:c>
      <x:c r="N154" s="173" t="str">
        <x:f>IF(A154="","",IF(OR(P154&lt;&gt;"",COUNTIFS(Lotes!$B$5:$B$204,A154,Lotes!$U$5:$U$204,1)&gt;0,Listas!$B$13&lt;&gt;"OK"),"REVISAR DADOS",IF(H154="Inativo","INATIVO",IF(Q154&lt;=F154,"REPOR","OK"))))</x:f>
      </x:c>
      <x:c r="O154" s="27"/>
      <x:c r="P154" s="163" t="str">
        <x:f>IF(COUNTA(A154:H154,O154)=0,"",IF(OR(A154="",COUNTIFS($A$5:$A$204,A154)&lt;&gt;1),"SKU ausente ou duplicado",IF(OR(B154="",D154=""),"Produto ou unidade ausente",IF(OR(NOT(ISNUMBER(F154)),F154&lt;0,NOT(ISNUMBER(G154)),G154&lt;0),"Mínimo ou custo inválido",IF(AND(H154&lt;&gt;"Ativo",H154&lt;&gt;"Inativo"),"Status de produto inválido","")))))</x:f>
      </x:c>
      <x:c r="Q154" s="163" t="str">
        <x:f>IF(A154="","",IF(OR(P154&lt;&gt;"",COUNTIFS(Lotes!$B$5:$B$204,A154,Lotes!$U$5:$U$204,1)&gt;0,Listas!$B$13&lt;&gt;"OK"),"n.a.",SUMIFS(Lotes!$V$5:$V$204,Lotes!$B$5:$B$204,A154)))</x:f>
      </x:c>
      <x:c r="R154" s="163" t="n">
        <x:f>IF(P154="",0,1)</x:f>
        <x:v>0</x:v>
      </x:c>
      <x:c r="S154" s="163" t="n">
        <x:f>IF(COUNTA(A154:H154,O154)=0,0,IF(OR(Listas!$B$19="Todos",A154=Listas!$B$19,A154=""),1,0))</x:f>
        <x:v>0</x:v>
      </x:c>
      <x:c r="T154" s="163" t="n">
        <x:f>IF(S154=1,COUNTIFS($S$5:S154,1),0)</x:f>
        <x:v>0</x:v>
      </x:c>
      <x:c r="U154" s="1"/>
      <x:c r="V154" s="1"/>
      <x:c r="W154" s="1"/>
    </x:row>
    <x:row r="155" ht="32" customHeight="1">
      <x:c r="A155" s="170"/>
      <x:c r="B155" s="170"/>
      <x:c r="C155" s="170"/>
      <x:c r="D155" s="170"/>
      <x:c r="E155" s="170"/>
      <x:c r="F155" s="171"/>
      <x:c r="G155" s="172"/>
      <x:c r="H155" s="170"/>
      <x:c r="I155" s="173" t="str">
        <x:f>IF(A155="","",IF(OR(P155&lt;&gt;"",COUNTIFS(Lotes!$B$5:$B$204,A155,Lotes!$U$5:$U$204,1)&gt;0,Listas!$B$13&lt;&gt;"OK"),"n.a.",SUMIFS(Lotes!$J$5:$J$204,Lotes!$B$5:$B$204,A155)))</x:f>
      </x:c>
      <x:c r="J155" s="174" t="str">
        <x:f>IF(A155="","",IF(OR(P155&lt;&gt;"",COUNTIFS(Lotes!$B$5:$B$204,A155,Lotes!$U$5:$U$204,1)&gt;0,Listas!$B$13&lt;&gt;"OK"),"n.a.",SUMIFS(Lotes!$L$5:$L$204,Lotes!$B$5:$B$204,A155)))</x:f>
      </x:c>
      <x:c r="K155" s="173" t="str">
        <x:f>IF(A155="","",IF(OR(P155&lt;&gt;"",COUNTIFS(Lotes!$B$5:$B$204,A155,Lotes!$U$5:$U$204,1)&gt;0,Listas!$B$13&lt;&gt;"OK"),"n.a.",COUNTIFS(Lotes!$B$5:$B$204,A155,Lotes!$J$5:$J$204,"&gt;0")))</x:f>
      </x:c>
      <x:c r="L155" s="173" t="str">
        <x:f>IF(A155="","",IF(OR(P155&lt;&gt;"",COUNTIFS(Lotes!$B$5:$B$204,A155,Lotes!$U$5:$U$204,1)&gt;0,Listas!$B$13&lt;&gt;"OK"),"n.a.",COUNTIFS(Lotes!$B$5:$B$204,A155,Lotes!$J$5:$J$204,"&gt;0",Lotes!$N$5:$N$204,"VENCIDO")))</x:f>
      </x:c>
      <x:c r="M155" s="173" t="str">
        <x:f>IF(A155="","",IF(OR(P155&lt;&gt;"",COUNTIFS(Lotes!$B$5:$B$204,A155,Lotes!$U$5:$U$204,1)&gt;0,Listas!$B$13&lt;&gt;"OK"),"n.a.",COUNTIFS(Lotes!$B$5:$B$204,A155,Lotes!$J$5:$J$204,"&gt;0",Lotes!$N$5:$N$204,"CRÍTICO")+COUNTIFS(Lotes!$B$5:$B$204,A155,Lotes!$J$5:$J$204,"&gt;0",Lotes!$N$5:$N$204,"VENCE NA JANELA")))</x:f>
      </x:c>
      <x:c r="N155" s="173" t="str">
        <x:f>IF(A155="","",IF(OR(P155&lt;&gt;"",COUNTIFS(Lotes!$B$5:$B$204,A155,Lotes!$U$5:$U$204,1)&gt;0,Listas!$B$13&lt;&gt;"OK"),"REVISAR DADOS",IF(H155="Inativo","INATIVO",IF(Q155&lt;=F155,"REPOR","OK"))))</x:f>
      </x:c>
      <x:c r="O155" s="27"/>
      <x:c r="P155" s="163" t="str">
        <x:f>IF(COUNTA(A155:H155,O155)=0,"",IF(OR(A155="",COUNTIFS($A$5:$A$204,A155)&lt;&gt;1),"SKU ausente ou duplicado",IF(OR(B155="",D155=""),"Produto ou unidade ausente",IF(OR(NOT(ISNUMBER(F155)),F155&lt;0,NOT(ISNUMBER(G155)),G155&lt;0),"Mínimo ou custo inválido",IF(AND(H155&lt;&gt;"Ativo",H155&lt;&gt;"Inativo"),"Status de produto inválido","")))))</x:f>
      </x:c>
      <x:c r="Q155" s="163" t="str">
        <x:f>IF(A155="","",IF(OR(P155&lt;&gt;"",COUNTIFS(Lotes!$B$5:$B$204,A155,Lotes!$U$5:$U$204,1)&gt;0,Listas!$B$13&lt;&gt;"OK"),"n.a.",SUMIFS(Lotes!$V$5:$V$204,Lotes!$B$5:$B$204,A155)))</x:f>
      </x:c>
      <x:c r="R155" s="163" t="n">
        <x:f>IF(P155="",0,1)</x:f>
        <x:v>0</x:v>
      </x:c>
      <x:c r="S155" s="163" t="n">
        <x:f>IF(COUNTA(A155:H155,O155)=0,0,IF(OR(Listas!$B$19="Todos",A155=Listas!$B$19,A155=""),1,0))</x:f>
        <x:v>0</x:v>
      </x:c>
      <x:c r="T155" s="163" t="n">
        <x:f>IF(S155=1,COUNTIFS($S$5:S155,1),0)</x:f>
        <x:v>0</x:v>
      </x:c>
      <x:c r="U155" s="1"/>
      <x:c r="V155" s="1"/>
      <x:c r="W155" s="1"/>
    </x:row>
    <x:row r="156" ht="32" customHeight="1">
      <x:c r="A156" s="170"/>
      <x:c r="B156" s="170"/>
      <x:c r="C156" s="170"/>
      <x:c r="D156" s="170"/>
      <x:c r="E156" s="170"/>
      <x:c r="F156" s="171"/>
      <x:c r="G156" s="172"/>
      <x:c r="H156" s="170"/>
      <x:c r="I156" s="173" t="str">
        <x:f>IF(A156="","",IF(OR(P156&lt;&gt;"",COUNTIFS(Lotes!$B$5:$B$204,A156,Lotes!$U$5:$U$204,1)&gt;0,Listas!$B$13&lt;&gt;"OK"),"n.a.",SUMIFS(Lotes!$J$5:$J$204,Lotes!$B$5:$B$204,A156)))</x:f>
      </x:c>
      <x:c r="J156" s="174" t="str">
        <x:f>IF(A156="","",IF(OR(P156&lt;&gt;"",COUNTIFS(Lotes!$B$5:$B$204,A156,Lotes!$U$5:$U$204,1)&gt;0,Listas!$B$13&lt;&gt;"OK"),"n.a.",SUMIFS(Lotes!$L$5:$L$204,Lotes!$B$5:$B$204,A156)))</x:f>
      </x:c>
      <x:c r="K156" s="173" t="str">
        <x:f>IF(A156="","",IF(OR(P156&lt;&gt;"",COUNTIFS(Lotes!$B$5:$B$204,A156,Lotes!$U$5:$U$204,1)&gt;0,Listas!$B$13&lt;&gt;"OK"),"n.a.",COUNTIFS(Lotes!$B$5:$B$204,A156,Lotes!$J$5:$J$204,"&gt;0")))</x:f>
      </x:c>
      <x:c r="L156" s="173" t="str">
        <x:f>IF(A156="","",IF(OR(P156&lt;&gt;"",COUNTIFS(Lotes!$B$5:$B$204,A156,Lotes!$U$5:$U$204,1)&gt;0,Listas!$B$13&lt;&gt;"OK"),"n.a.",COUNTIFS(Lotes!$B$5:$B$204,A156,Lotes!$J$5:$J$204,"&gt;0",Lotes!$N$5:$N$204,"VENCIDO")))</x:f>
      </x:c>
      <x:c r="M156" s="173" t="str">
        <x:f>IF(A156="","",IF(OR(P156&lt;&gt;"",COUNTIFS(Lotes!$B$5:$B$204,A156,Lotes!$U$5:$U$204,1)&gt;0,Listas!$B$13&lt;&gt;"OK"),"n.a.",COUNTIFS(Lotes!$B$5:$B$204,A156,Lotes!$J$5:$J$204,"&gt;0",Lotes!$N$5:$N$204,"CRÍTICO")+COUNTIFS(Lotes!$B$5:$B$204,A156,Lotes!$J$5:$J$204,"&gt;0",Lotes!$N$5:$N$204,"VENCE NA JANELA")))</x:f>
      </x:c>
      <x:c r="N156" s="173" t="str">
        <x:f>IF(A156="","",IF(OR(P156&lt;&gt;"",COUNTIFS(Lotes!$B$5:$B$204,A156,Lotes!$U$5:$U$204,1)&gt;0,Listas!$B$13&lt;&gt;"OK"),"REVISAR DADOS",IF(H156="Inativo","INATIVO",IF(Q156&lt;=F156,"REPOR","OK"))))</x:f>
      </x:c>
      <x:c r="O156" s="27"/>
      <x:c r="P156" s="163" t="str">
        <x:f>IF(COUNTA(A156:H156,O156)=0,"",IF(OR(A156="",COUNTIFS($A$5:$A$204,A156)&lt;&gt;1),"SKU ausente ou duplicado",IF(OR(B156="",D156=""),"Produto ou unidade ausente",IF(OR(NOT(ISNUMBER(F156)),F156&lt;0,NOT(ISNUMBER(G156)),G156&lt;0),"Mínimo ou custo inválido",IF(AND(H156&lt;&gt;"Ativo",H156&lt;&gt;"Inativo"),"Status de produto inválido","")))))</x:f>
      </x:c>
      <x:c r="Q156" s="163" t="str">
        <x:f>IF(A156="","",IF(OR(P156&lt;&gt;"",COUNTIFS(Lotes!$B$5:$B$204,A156,Lotes!$U$5:$U$204,1)&gt;0,Listas!$B$13&lt;&gt;"OK"),"n.a.",SUMIFS(Lotes!$V$5:$V$204,Lotes!$B$5:$B$204,A156)))</x:f>
      </x:c>
      <x:c r="R156" s="163" t="n">
        <x:f>IF(P156="",0,1)</x:f>
        <x:v>0</x:v>
      </x:c>
      <x:c r="S156" s="163" t="n">
        <x:f>IF(COUNTA(A156:H156,O156)=0,0,IF(OR(Listas!$B$19="Todos",A156=Listas!$B$19,A156=""),1,0))</x:f>
        <x:v>0</x:v>
      </x:c>
      <x:c r="T156" s="163" t="n">
        <x:f>IF(S156=1,COUNTIFS($S$5:S156,1),0)</x:f>
        <x:v>0</x:v>
      </x:c>
      <x:c r="U156" s="1"/>
      <x:c r="V156" s="1"/>
      <x:c r="W156" s="1"/>
    </x:row>
    <x:row r="157" ht="32" customHeight="1">
      <x:c r="A157" s="170"/>
      <x:c r="B157" s="170"/>
      <x:c r="C157" s="170"/>
      <x:c r="D157" s="170"/>
      <x:c r="E157" s="170"/>
      <x:c r="F157" s="171"/>
      <x:c r="G157" s="172"/>
      <x:c r="H157" s="170"/>
      <x:c r="I157" s="173" t="str">
        <x:f>IF(A157="","",IF(OR(P157&lt;&gt;"",COUNTIFS(Lotes!$B$5:$B$204,A157,Lotes!$U$5:$U$204,1)&gt;0,Listas!$B$13&lt;&gt;"OK"),"n.a.",SUMIFS(Lotes!$J$5:$J$204,Lotes!$B$5:$B$204,A157)))</x:f>
      </x:c>
      <x:c r="J157" s="174" t="str">
        <x:f>IF(A157="","",IF(OR(P157&lt;&gt;"",COUNTIFS(Lotes!$B$5:$B$204,A157,Lotes!$U$5:$U$204,1)&gt;0,Listas!$B$13&lt;&gt;"OK"),"n.a.",SUMIFS(Lotes!$L$5:$L$204,Lotes!$B$5:$B$204,A157)))</x:f>
      </x:c>
      <x:c r="K157" s="173" t="str">
        <x:f>IF(A157="","",IF(OR(P157&lt;&gt;"",COUNTIFS(Lotes!$B$5:$B$204,A157,Lotes!$U$5:$U$204,1)&gt;0,Listas!$B$13&lt;&gt;"OK"),"n.a.",COUNTIFS(Lotes!$B$5:$B$204,A157,Lotes!$J$5:$J$204,"&gt;0")))</x:f>
      </x:c>
      <x:c r="L157" s="173" t="str">
        <x:f>IF(A157="","",IF(OR(P157&lt;&gt;"",COUNTIFS(Lotes!$B$5:$B$204,A157,Lotes!$U$5:$U$204,1)&gt;0,Listas!$B$13&lt;&gt;"OK"),"n.a.",COUNTIFS(Lotes!$B$5:$B$204,A157,Lotes!$J$5:$J$204,"&gt;0",Lotes!$N$5:$N$204,"VENCIDO")))</x:f>
      </x:c>
      <x:c r="M157" s="173" t="str">
        <x:f>IF(A157="","",IF(OR(P157&lt;&gt;"",COUNTIFS(Lotes!$B$5:$B$204,A157,Lotes!$U$5:$U$204,1)&gt;0,Listas!$B$13&lt;&gt;"OK"),"n.a.",COUNTIFS(Lotes!$B$5:$B$204,A157,Lotes!$J$5:$J$204,"&gt;0",Lotes!$N$5:$N$204,"CRÍTICO")+COUNTIFS(Lotes!$B$5:$B$204,A157,Lotes!$J$5:$J$204,"&gt;0",Lotes!$N$5:$N$204,"VENCE NA JANELA")))</x:f>
      </x:c>
      <x:c r="N157" s="173" t="str">
        <x:f>IF(A157="","",IF(OR(P157&lt;&gt;"",COUNTIFS(Lotes!$B$5:$B$204,A157,Lotes!$U$5:$U$204,1)&gt;0,Listas!$B$13&lt;&gt;"OK"),"REVISAR DADOS",IF(H157="Inativo","INATIVO",IF(Q157&lt;=F157,"REPOR","OK"))))</x:f>
      </x:c>
      <x:c r="O157" s="27"/>
      <x:c r="P157" s="163" t="str">
        <x:f>IF(COUNTA(A157:H157,O157)=0,"",IF(OR(A157="",COUNTIFS($A$5:$A$204,A157)&lt;&gt;1),"SKU ausente ou duplicado",IF(OR(B157="",D157=""),"Produto ou unidade ausente",IF(OR(NOT(ISNUMBER(F157)),F157&lt;0,NOT(ISNUMBER(G157)),G157&lt;0),"Mínimo ou custo inválido",IF(AND(H157&lt;&gt;"Ativo",H157&lt;&gt;"Inativo"),"Status de produto inválido","")))))</x:f>
      </x:c>
      <x:c r="Q157" s="163" t="str">
        <x:f>IF(A157="","",IF(OR(P157&lt;&gt;"",COUNTIFS(Lotes!$B$5:$B$204,A157,Lotes!$U$5:$U$204,1)&gt;0,Listas!$B$13&lt;&gt;"OK"),"n.a.",SUMIFS(Lotes!$V$5:$V$204,Lotes!$B$5:$B$204,A157)))</x:f>
      </x:c>
      <x:c r="R157" s="163" t="n">
        <x:f>IF(P157="",0,1)</x:f>
        <x:v>0</x:v>
      </x:c>
      <x:c r="S157" s="163" t="n">
        <x:f>IF(COUNTA(A157:H157,O157)=0,0,IF(OR(Listas!$B$19="Todos",A157=Listas!$B$19,A157=""),1,0))</x:f>
        <x:v>0</x:v>
      </x:c>
      <x:c r="T157" s="163" t="n">
        <x:f>IF(S157=1,COUNTIFS($S$5:S157,1),0)</x:f>
        <x:v>0</x:v>
      </x:c>
      <x:c r="U157" s="1"/>
      <x:c r="V157" s="1"/>
      <x:c r="W157" s="1"/>
    </x:row>
    <x:row r="158" ht="32" customHeight="1">
      <x:c r="A158" s="170"/>
      <x:c r="B158" s="170"/>
      <x:c r="C158" s="170"/>
      <x:c r="D158" s="170"/>
      <x:c r="E158" s="170"/>
      <x:c r="F158" s="171"/>
      <x:c r="G158" s="172"/>
      <x:c r="H158" s="170"/>
      <x:c r="I158" s="173" t="str">
        <x:f>IF(A158="","",IF(OR(P158&lt;&gt;"",COUNTIFS(Lotes!$B$5:$B$204,A158,Lotes!$U$5:$U$204,1)&gt;0,Listas!$B$13&lt;&gt;"OK"),"n.a.",SUMIFS(Lotes!$J$5:$J$204,Lotes!$B$5:$B$204,A158)))</x:f>
      </x:c>
      <x:c r="J158" s="174" t="str">
        <x:f>IF(A158="","",IF(OR(P158&lt;&gt;"",COUNTIFS(Lotes!$B$5:$B$204,A158,Lotes!$U$5:$U$204,1)&gt;0,Listas!$B$13&lt;&gt;"OK"),"n.a.",SUMIFS(Lotes!$L$5:$L$204,Lotes!$B$5:$B$204,A158)))</x:f>
      </x:c>
      <x:c r="K158" s="173" t="str">
        <x:f>IF(A158="","",IF(OR(P158&lt;&gt;"",COUNTIFS(Lotes!$B$5:$B$204,A158,Lotes!$U$5:$U$204,1)&gt;0,Listas!$B$13&lt;&gt;"OK"),"n.a.",COUNTIFS(Lotes!$B$5:$B$204,A158,Lotes!$J$5:$J$204,"&gt;0")))</x:f>
      </x:c>
      <x:c r="L158" s="173" t="str">
        <x:f>IF(A158="","",IF(OR(P158&lt;&gt;"",COUNTIFS(Lotes!$B$5:$B$204,A158,Lotes!$U$5:$U$204,1)&gt;0,Listas!$B$13&lt;&gt;"OK"),"n.a.",COUNTIFS(Lotes!$B$5:$B$204,A158,Lotes!$J$5:$J$204,"&gt;0",Lotes!$N$5:$N$204,"VENCIDO")))</x:f>
      </x:c>
      <x:c r="M158" s="173" t="str">
        <x:f>IF(A158="","",IF(OR(P158&lt;&gt;"",COUNTIFS(Lotes!$B$5:$B$204,A158,Lotes!$U$5:$U$204,1)&gt;0,Listas!$B$13&lt;&gt;"OK"),"n.a.",COUNTIFS(Lotes!$B$5:$B$204,A158,Lotes!$J$5:$J$204,"&gt;0",Lotes!$N$5:$N$204,"CRÍTICO")+COUNTIFS(Lotes!$B$5:$B$204,A158,Lotes!$J$5:$J$204,"&gt;0",Lotes!$N$5:$N$204,"VENCE NA JANELA")))</x:f>
      </x:c>
      <x:c r="N158" s="173" t="str">
        <x:f>IF(A158="","",IF(OR(P158&lt;&gt;"",COUNTIFS(Lotes!$B$5:$B$204,A158,Lotes!$U$5:$U$204,1)&gt;0,Listas!$B$13&lt;&gt;"OK"),"REVISAR DADOS",IF(H158="Inativo","INATIVO",IF(Q158&lt;=F158,"REPOR","OK"))))</x:f>
      </x:c>
      <x:c r="O158" s="27"/>
      <x:c r="P158" s="163" t="str">
        <x:f>IF(COUNTA(A158:H158,O158)=0,"",IF(OR(A158="",COUNTIFS($A$5:$A$204,A158)&lt;&gt;1),"SKU ausente ou duplicado",IF(OR(B158="",D158=""),"Produto ou unidade ausente",IF(OR(NOT(ISNUMBER(F158)),F158&lt;0,NOT(ISNUMBER(G158)),G158&lt;0),"Mínimo ou custo inválido",IF(AND(H158&lt;&gt;"Ativo",H158&lt;&gt;"Inativo"),"Status de produto inválido","")))))</x:f>
      </x:c>
      <x:c r="Q158" s="163" t="str">
        <x:f>IF(A158="","",IF(OR(P158&lt;&gt;"",COUNTIFS(Lotes!$B$5:$B$204,A158,Lotes!$U$5:$U$204,1)&gt;0,Listas!$B$13&lt;&gt;"OK"),"n.a.",SUMIFS(Lotes!$V$5:$V$204,Lotes!$B$5:$B$204,A158)))</x:f>
      </x:c>
      <x:c r="R158" s="163" t="n">
        <x:f>IF(P158="",0,1)</x:f>
        <x:v>0</x:v>
      </x:c>
      <x:c r="S158" s="163" t="n">
        <x:f>IF(COUNTA(A158:H158,O158)=0,0,IF(OR(Listas!$B$19="Todos",A158=Listas!$B$19,A158=""),1,0))</x:f>
        <x:v>0</x:v>
      </x:c>
      <x:c r="T158" s="163" t="n">
        <x:f>IF(S158=1,COUNTIFS($S$5:S158,1),0)</x:f>
        <x:v>0</x:v>
      </x:c>
      <x:c r="U158" s="1"/>
      <x:c r="V158" s="1"/>
      <x:c r="W158" s="1"/>
    </x:row>
    <x:row r="159" ht="32" customHeight="1">
      <x:c r="A159" s="170"/>
      <x:c r="B159" s="170"/>
      <x:c r="C159" s="170"/>
      <x:c r="D159" s="170"/>
      <x:c r="E159" s="170"/>
      <x:c r="F159" s="171"/>
      <x:c r="G159" s="172"/>
      <x:c r="H159" s="170"/>
      <x:c r="I159" s="173" t="str">
        <x:f>IF(A159="","",IF(OR(P159&lt;&gt;"",COUNTIFS(Lotes!$B$5:$B$204,A159,Lotes!$U$5:$U$204,1)&gt;0,Listas!$B$13&lt;&gt;"OK"),"n.a.",SUMIFS(Lotes!$J$5:$J$204,Lotes!$B$5:$B$204,A159)))</x:f>
      </x:c>
      <x:c r="J159" s="174" t="str">
        <x:f>IF(A159="","",IF(OR(P159&lt;&gt;"",COUNTIFS(Lotes!$B$5:$B$204,A159,Lotes!$U$5:$U$204,1)&gt;0,Listas!$B$13&lt;&gt;"OK"),"n.a.",SUMIFS(Lotes!$L$5:$L$204,Lotes!$B$5:$B$204,A159)))</x:f>
      </x:c>
      <x:c r="K159" s="173" t="str">
        <x:f>IF(A159="","",IF(OR(P159&lt;&gt;"",COUNTIFS(Lotes!$B$5:$B$204,A159,Lotes!$U$5:$U$204,1)&gt;0,Listas!$B$13&lt;&gt;"OK"),"n.a.",COUNTIFS(Lotes!$B$5:$B$204,A159,Lotes!$J$5:$J$204,"&gt;0")))</x:f>
      </x:c>
      <x:c r="L159" s="173" t="str">
        <x:f>IF(A159="","",IF(OR(P159&lt;&gt;"",COUNTIFS(Lotes!$B$5:$B$204,A159,Lotes!$U$5:$U$204,1)&gt;0,Listas!$B$13&lt;&gt;"OK"),"n.a.",COUNTIFS(Lotes!$B$5:$B$204,A159,Lotes!$J$5:$J$204,"&gt;0",Lotes!$N$5:$N$204,"VENCIDO")))</x:f>
      </x:c>
      <x:c r="M159" s="173" t="str">
        <x:f>IF(A159="","",IF(OR(P159&lt;&gt;"",COUNTIFS(Lotes!$B$5:$B$204,A159,Lotes!$U$5:$U$204,1)&gt;0,Listas!$B$13&lt;&gt;"OK"),"n.a.",COUNTIFS(Lotes!$B$5:$B$204,A159,Lotes!$J$5:$J$204,"&gt;0",Lotes!$N$5:$N$204,"CRÍTICO")+COUNTIFS(Lotes!$B$5:$B$204,A159,Lotes!$J$5:$J$204,"&gt;0",Lotes!$N$5:$N$204,"VENCE NA JANELA")))</x:f>
      </x:c>
      <x:c r="N159" s="173" t="str">
        <x:f>IF(A159="","",IF(OR(P159&lt;&gt;"",COUNTIFS(Lotes!$B$5:$B$204,A159,Lotes!$U$5:$U$204,1)&gt;0,Listas!$B$13&lt;&gt;"OK"),"REVISAR DADOS",IF(H159="Inativo","INATIVO",IF(Q159&lt;=F159,"REPOR","OK"))))</x:f>
      </x:c>
      <x:c r="O159" s="27"/>
      <x:c r="P159" s="163" t="str">
        <x:f>IF(COUNTA(A159:H159,O159)=0,"",IF(OR(A159="",COUNTIFS($A$5:$A$204,A159)&lt;&gt;1),"SKU ausente ou duplicado",IF(OR(B159="",D159=""),"Produto ou unidade ausente",IF(OR(NOT(ISNUMBER(F159)),F159&lt;0,NOT(ISNUMBER(G159)),G159&lt;0),"Mínimo ou custo inválido",IF(AND(H159&lt;&gt;"Ativo",H159&lt;&gt;"Inativo"),"Status de produto inválido","")))))</x:f>
      </x:c>
      <x:c r="Q159" s="163" t="str">
        <x:f>IF(A159="","",IF(OR(P159&lt;&gt;"",COUNTIFS(Lotes!$B$5:$B$204,A159,Lotes!$U$5:$U$204,1)&gt;0,Listas!$B$13&lt;&gt;"OK"),"n.a.",SUMIFS(Lotes!$V$5:$V$204,Lotes!$B$5:$B$204,A159)))</x:f>
      </x:c>
      <x:c r="R159" s="163" t="n">
        <x:f>IF(P159="",0,1)</x:f>
        <x:v>0</x:v>
      </x:c>
      <x:c r="S159" s="163" t="n">
        <x:f>IF(COUNTA(A159:H159,O159)=0,0,IF(OR(Listas!$B$19="Todos",A159=Listas!$B$19,A159=""),1,0))</x:f>
        <x:v>0</x:v>
      </x:c>
      <x:c r="T159" s="163" t="n">
        <x:f>IF(S159=1,COUNTIFS($S$5:S159,1),0)</x:f>
        <x:v>0</x:v>
      </x:c>
      <x:c r="U159" s="1"/>
      <x:c r="V159" s="1"/>
      <x:c r="W159" s="1"/>
    </x:row>
    <x:row r="160" ht="32" customHeight="1">
      <x:c r="A160" s="170"/>
      <x:c r="B160" s="170"/>
      <x:c r="C160" s="170"/>
      <x:c r="D160" s="170"/>
      <x:c r="E160" s="170"/>
      <x:c r="F160" s="171"/>
      <x:c r="G160" s="172"/>
      <x:c r="H160" s="170"/>
      <x:c r="I160" s="173" t="str">
        <x:f>IF(A160="","",IF(OR(P160&lt;&gt;"",COUNTIFS(Lotes!$B$5:$B$204,A160,Lotes!$U$5:$U$204,1)&gt;0,Listas!$B$13&lt;&gt;"OK"),"n.a.",SUMIFS(Lotes!$J$5:$J$204,Lotes!$B$5:$B$204,A160)))</x:f>
      </x:c>
      <x:c r="J160" s="174" t="str">
        <x:f>IF(A160="","",IF(OR(P160&lt;&gt;"",COUNTIFS(Lotes!$B$5:$B$204,A160,Lotes!$U$5:$U$204,1)&gt;0,Listas!$B$13&lt;&gt;"OK"),"n.a.",SUMIFS(Lotes!$L$5:$L$204,Lotes!$B$5:$B$204,A160)))</x:f>
      </x:c>
      <x:c r="K160" s="173" t="str">
        <x:f>IF(A160="","",IF(OR(P160&lt;&gt;"",COUNTIFS(Lotes!$B$5:$B$204,A160,Lotes!$U$5:$U$204,1)&gt;0,Listas!$B$13&lt;&gt;"OK"),"n.a.",COUNTIFS(Lotes!$B$5:$B$204,A160,Lotes!$J$5:$J$204,"&gt;0")))</x:f>
      </x:c>
      <x:c r="L160" s="173" t="str">
        <x:f>IF(A160="","",IF(OR(P160&lt;&gt;"",COUNTIFS(Lotes!$B$5:$B$204,A160,Lotes!$U$5:$U$204,1)&gt;0,Listas!$B$13&lt;&gt;"OK"),"n.a.",COUNTIFS(Lotes!$B$5:$B$204,A160,Lotes!$J$5:$J$204,"&gt;0",Lotes!$N$5:$N$204,"VENCIDO")))</x:f>
      </x:c>
      <x:c r="M160" s="173" t="str">
        <x:f>IF(A160="","",IF(OR(P160&lt;&gt;"",COUNTIFS(Lotes!$B$5:$B$204,A160,Lotes!$U$5:$U$204,1)&gt;0,Listas!$B$13&lt;&gt;"OK"),"n.a.",COUNTIFS(Lotes!$B$5:$B$204,A160,Lotes!$J$5:$J$204,"&gt;0",Lotes!$N$5:$N$204,"CRÍTICO")+COUNTIFS(Lotes!$B$5:$B$204,A160,Lotes!$J$5:$J$204,"&gt;0",Lotes!$N$5:$N$204,"VENCE NA JANELA")))</x:f>
      </x:c>
      <x:c r="N160" s="173" t="str">
        <x:f>IF(A160="","",IF(OR(P160&lt;&gt;"",COUNTIFS(Lotes!$B$5:$B$204,A160,Lotes!$U$5:$U$204,1)&gt;0,Listas!$B$13&lt;&gt;"OK"),"REVISAR DADOS",IF(H160="Inativo","INATIVO",IF(Q160&lt;=F160,"REPOR","OK"))))</x:f>
      </x:c>
      <x:c r="O160" s="27"/>
      <x:c r="P160" s="163" t="str">
        <x:f>IF(COUNTA(A160:H160,O160)=0,"",IF(OR(A160="",COUNTIFS($A$5:$A$204,A160)&lt;&gt;1),"SKU ausente ou duplicado",IF(OR(B160="",D160=""),"Produto ou unidade ausente",IF(OR(NOT(ISNUMBER(F160)),F160&lt;0,NOT(ISNUMBER(G160)),G160&lt;0),"Mínimo ou custo inválido",IF(AND(H160&lt;&gt;"Ativo",H160&lt;&gt;"Inativo"),"Status de produto inválido","")))))</x:f>
      </x:c>
      <x:c r="Q160" s="163" t="str">
        <x:f>IF(A160="","",IF(OR(P160&lt;&gt;"",COUNTIFS(Lotes!$B$5:$B$204,A160,Lotes!$U$5:$U$204,1)&gt;0,Listas!$B$13&lt;&gt;"OK"),"n.a.",SUMIFS(Lotes!$V$5:$V$204,Lotes!$B$5:$B$204,A160)))</x:f>
      </x:c>
      <x:c r="R160" s="163" t="n">
        <x:f>IF(P160="",0,1)</x:f>
        <x:v>0</x:v>
      </x:c>
      <x:c r="S160" s="163" t="n">
        <x:f>IF(COUNTA(A160:H160,O160)=0,0,IF(OR(Listas!$B$19="Todos",A160=Listas!$B$19,A160=""),1,0))</x:f>
        <x:v>0</x:v>
      </x:c>
      <x:c r="T160" s="163" t="n">
        <x:f>IF(S160=1,COUNTIFS($S$5:S160,1),0)</x:f>
        <x:v>0</x:v>
      </x:c>
      <x:c r="U160" s="1"/>
      <x:c r="V160" s="1"/>
      <x:c r="W160" s="1"/>
    </x:row>
    <x:row r="161" ht="32" customHeight="1">
      <x:c r="A161" s="170"/>
      <x:c r="B161" s="170"/>
      <x:c r="C161" s="170"/>
      <x:c r="D161" s="170"/>
      <x:c r="E161" s="170"/>
      <x:c r="F161" s="171"/>
      <x:c r="G161" s="172"/>
      <x:c r="H161" s="170"/>
      <x:c r="I161" s="173" t="str">
        <x:f>IF(A161="","",IF(OR(P161&lt;&gt;"",COUNTIFS(Lotes!$B$5:$B$204,A161,Lotes!$U$5:$U$204,1)&gt;0,Listas!$B$13&lt;&gt;"OK"),"n.a.",SUMIFS(Lotes!$J$5:$J$204,Lotes!$B$5:$B$204,A161)))</x:f>
      </x:c>
      <x:c r="J161" s="174" t="str">
        <x:f>IF(A161="","",IF(OR(P161&lt;&gt;"",COUNTIFS(Lotes!$B$5:$B$204,A161,Lotes!$U$5:$U$204,1)&gt;0,Listas!$B$13&lt;&gt;"OK"),"n.a.",SUMIFS(Lotes!$L$5:$L$204,Lotes!$B$5:$B$204,A161)))</x:f>
      </x:c>
      <x:c r="K161" s="173" t="str">
        <x:f>IF(A161="","",IF(OR(P161&lt;&gt;"",COUNTIFS(Lotes!$B$5:$B$204,A161,Lotes!$U$5:$U$204,1)&gt;0,Listas!$B$13&lt;&gt;"OK"),"n.a.",COUNTIFS(Lotes!$B$5:$B$204,A161,Lotes!$J$5:$J$204,"&gt;0")))</x:f>
      </x:c>
      <x:c r="L161" s="173" t="str">
        <x:f>IF(A161="","",IF(OR(P161&lt;&gt;"",COUNTIFS(Lotes!$B$5:$B$204,A161,Lotes!$U$5:$U$204,1)&gt;0,Listas!$B$13&lt;&gt;"OK"),"n.a.",COUNTIFS(Lotes!$B$5:$B$204,A161,Lotes!$J$5:$J$204,"&gt;0",Lotes!$N$5:$N$204,"VENCIDO")))</x:f>
      </x:c>
      <x:c r="M161" s="173" t="str">
        <x:f>IF(A161="","",IF(OR(P161&lt;&gt;"",COUNTIFS(Lotes!$B$5:$B$204,A161,Lotes!$U$5:$U$204,1)&gt;0,Listas!$B$13&lt;&gt;"OK"),"n.a.",COUNTIFS(Lotes!$B$5:$B$204,A161,Lotes!$J$5:$J$204,"&gt;0",Lotes!$N$5:$N$204,"CRÍTICO")+COUNTIFS(Lotes!$B$5:$B$204,A161,Lotes!$J$5:$J$204,"&gt;0",Lotes!$N$5:$N$204,"VENCE NA JANELA")))</x:f>
      </x:c>
      <x:c r="N161" s="173" t="str">
        <x:f>IF(A161="","",IF(OR(P161&lt;&gt;"",COUNTIFS(Lotes!$B$5:$B$204,A161,Lotes!$U$5:$U$204,1)&gt;0,Listas!$B$13&lt;&gt;"OK"),"REVISAR DADOS",IF(H161="Inativo","INATIVO",IF(Q161&lt;=F161,"REPOR","OK"))))</x:f>
      </x:c>
      <x:c r="O161" s="27"/>
      <x:c r="P161" s="163" t="str">
        <x:f>IF(COUNTA(A161:H161,O161)=0,"",IF(OR(A161="",COUNTIFS($A$5:$A$204,A161)&lt;&gt;1),"SKU ausente ou duplicado",IF(OR(B161="",D161=""),"Produto ou unidade ausente",IF(OR(NOT(ISNUMBER(F161)),F161&lt;0,NOT(ISNUMBER(G161)),G161&lt;0),"Mínimo ou custo inválido",IF(AND(H161&lt;&gt;"Ativo",H161&lt;&gt;"Inativo"),"Status de produto inválido","")))))</x:f>
      </x:c>
      <x:c r="Q161" s="163" t="str">
        <x:f>IF(A161="","",IF(OR(P161&lt;&gt;"",COUNTIFS(Lotes!$B$5:$B$204,A161,Lotes!$U$5:$U$204,1)&gt;0,Listas!$B$13&lt;&gt;"OK"),"n.a.",SUMIFS(Lotes!$V$5:$V$204,Lotes!$B$5:$B$204,A161)))</x:f>
      </x:c>
      <x:c r="R161" s="163" t="n">
        <x:f>IF(P161="",0,1)</x:f>
        <x:v>0</x:v>
      </x:c>
      <x:c r="S161" s="163" t="n">
        <x:f>IF(COUNTA(A161:H161,O161)=0,0,IF(OR(Listas!$B$19="Todos",A161=Listas!$B$19,A161=""),1,0))</x:f>
        <x:v>0</x:v>
      </x:c>
      <x:c r="T161" s="163" t="n">
        <x:f>IF(S161=1,COUNTIFS($S$5:S161,1),0)</x:f>
        <x:v>0</x:v>
      </x:c>
      <x:c r="U161" s="1"/>
      <x:c r="V161" s="1"/>
      <x:c r="W161" s="1"/>
    </x:row>
    <x:row r="162" ht="32" customHeight="1">
      <x:c r="A162" s="170"/>
      <x:c r="B162" s="170"/>
      <x:c r="C162" s="170"/>
      <x:c r="D162" s="170"/>
      <x:c r="E162" s="170"/>
      <x:c r="F162" s="171"/>
      <x:c r="G162" s="172"/>
      <x:c r="H162" s="170"/>
      <x:c r="I162" s="173" t="str">
        <x:f>IF(A162="","",IF(OR(P162&lt;&gt;"",COUNTIFS(Lotes!$B$5:$B$204,A162,Lotes!$U$5:$U$204,1)&gt;0,Listas!$B$13&lt;&gt;"OK"),"n.a.",SUMIFS(Lotes!$J$5:$J$204,Lotes!$B$5:$B$204,A162)))</x:f>
      </x:c>
      <x:c r="J162" s="174" t="str">
        <x:f>IF(A162="","",IF(OR(P162&lt;&gt;"",COUNTIFS(Lotes!$B$5:$B$204,A162,Lotes!$U$5:$U$204,1)&gt;0,Listas!$B$13&lt;&gt;"OK"),"n.a.",SUMIFS(Lotes!$L$5:$L$204,Lotes!$B$5:$B$204,A162)))</x:f>
      </x:c>
      <x:c r="K162" s="173" t="str">
        <x:f>IF(A162="","",IF(OR(P162&lt;&gt;"",COUNTIFS(Lotes!$B$5:$B$204,A162,Lotes!$U$5:$U$204,1)&gt;0,Listas!$B$13&lt;&gt;"OK"),"n.a.",COUNTIFS(Lotes!$B$5:$B$204,A162,Lotes!$J$5:$J$204,"&gt;0")))</x:f>
      </x:c>
      <x:c r="L162" s="173" t="str">
        <x:f>IF(A162="","",IF(OR(P162&lt;&gt;"",COUNTIFS(Lotes!$B$5:$B$204,A162,Lotes!$U$5:$U$204,1)&gt;0,Listas!$B$13&lt;&gt;"OK"),"n.a.",COUNTIFS(Lotes!$B$5:$B$204,A162,Lotes!$J$5:$J$204,"&gt;0",Lotes!$N$5:$N$204,"VENCIDO")))</x:f>
      </x:c>
      <x:c r="M162" s="173" t="str">
        <x:f>IF(A162="","",IF(OR(P162&lt;&gt;"",COUNTIFS(Lotes!$B$5:$B$204,A162,Lotes!$U$5:$U$204,1)&gt;0,Listas!$B$13&lt;&gt;"OK"),"n.a.",COUNTIFS(Lotes!$B$5:$B$204,A162,Lotes!$J$5:$J$204,"&gt;0",Lotes!$N$5:$N$204,"CRÍTICO")+COUNTIFS(Lotes!$B$5:$B$204,A162,Lotes!$J$5:$J$204,"&gt;0",Lotes!$N$5:$N$204,"VENCE NA JANELA")))</x:f>
      </x:c>
      <x:c r="N162" s="173" t="str">
        <x:f>IF(A162="","",IF(OR(P162&lt;&gt;"",COUNTIFS(Lotes!$B$5:$B$204,A162,Lotes!$U$5:$U$204,1)&gt;0,Listas!$B$13&lt;&gt;"OK"),"REVISAR DADOS",IF(H162="Inativo","INATIVO",IF(Q162&lt;=F162,"REPOR","OK"))))</x:f>
      </x:c>
      <x:c r="O162" s="27"/>
      <x:c r="P162" s="163" t="str">
        <x:f>IF(COUNTA(A162:H162,O162)=0,"",IF(OR(A162="",COUNTIFS($A$5:$A$204,A162)&lt;&gt;1),"SKU ausente ou duplicado",IF(OR(B162="",D162=""),"Produto ou unidade ausente",IF(OR(NOT(ISNUMBER(F162)),F162&lt;0,NOT(ISNUMBER(G162)),G162&lt;0),"Mínimo ou custo inválido",IF(AND(H162&lt;&gt;"Ativo",H162&lt;&gt;"Inativo"),"Status de produto inválido","")))))</x:f>
      </x:c>
      <x:c r="Q162" s="163" t="str">
        <x:f>IF(A162="","",IF(OR(P162&lt;&gt;"",COUNTIFS(Lotes!$B$5:$B$204,A162,Lotes!$U$5:$U$204,1)&gt;0,Listas!$B$13&lt;&gt;"OK"),"n.a.",SUMIFS(Lotes!$V$5:$V$204,Lotes!$B$5:$B$204,A162)))</x:f>
      </x:c>
      <x:c r="R162" s="163" t="n">
        <x:f>IF(P162="",0,1)</x:f>
        <x:v>0</x:v>
      </x:c>
      <x:c r="S162" s="163" t="n">
        <x:f>IF(COUNTA(A162:H162,O162)=0,0,IF(OR(Listas!$B$19="Todos",A162=Listas!$B$19,A162=""),1,0))</x:f>
        <x:v>0</x:v>
      </x:c>
      <x:c r="T162" s="163" t="n">
        <x:f>IF(S162=1,COUNTIFS($S$5:S162,1),0)</x:f>
        <x:v>0</x:v>
      </x:c>
      <x:c r="U162" s="1"/>
      <x:c r="V162" s="1"/>
      <x:c r="W162" s="1"/>
    </x:row>
    <x:row r="163" ht="32" customHeight="1">
      <x:c r="A163" s="170"/>
      <x:c r="B163" s="170"/>
      <x:c r="C163" s="170"/>
      <x:c r="D163" s="170"/>
      <x:c r="E163" s="170"/>
      <x:c r="F163" s="171"/>
      <x:c r="G163" s="172"/>
      <x:c r="H163" s="170"/>
      <x:c r="I163" s="173" t="str">
        <x:f>IF(A163="","",IF(OR(P163&lt;&gt;"",COUNTIFS(Lotes!$B$5:$B$204,A163,Lotes!$U$5:$U$204,1)&gt;0,Listas!$B$13&lt;&gt;"OK"),"n.a.",SUMIFS(Lotes!$J$5:$J$204,Lotes!$B$5:$B$204,A163)))</x:f>
      </x:c>
      <x:c r="J163" s="174" t="str">
        <x:f>IF(A163="","",IF(OR(P163&lt;&gt;"",COUNTIFS(Lotes!$B$5:$B$204,A163,Lotes!$U$5:$U$204,1)&gt;0,Listas!$B$13&lt;&gt;"OK"),"n.a.",SUMIFS(Lotes!$L$5:$L$204,Lotes!$B$5:$B$204,A163)))</x:f>
      </x:c>
      <x:c r="K163" s="173" t="str">
        <x:f>IF(A163="","",IF(OR(P163&lt;&gt;"",COUNTIFS(Lotes!$B$5:$B$204,A163,Lotes!$U$5:$U$204,1)&gt;0,Listas!$B$13&lt;&gt;"OK"),"n.a.",COUNTIFS(Lotes!$B$5:$B$204,A163,Lotes!$J$5:$J$204,"&gt;0")))</x:f>
      </x:c>
      <x:c r="L163" s="173" t="str">
        <x:f>IF(A163="","",IF(OR(P163&lt;&gt;"",COUNTIFS(Lotes!$B$5:$B$204,A163,Lotes!$U$5:$U$204,1)&gt;0,Listas!$B$13&lt;&gt;"OK"),"n.a.",COUNTIFS(Lotes!$B$5:$B$204,A163,Lotes!$J$5:$J$204,"&gt;0",Lotes!$N$5:$N$204,"VENCIDO")))</x:f>
      </x:c>
      <x:c r="M163" s="173" t="str">
        <x:f>IF(A163="","",IF(OR(P163&lt;&gt;"",COUNTIFS(Lotes!$B$5:$B$204,A163,Lotes!$U$5:$U$204,1)&gt;0,Listas!$B$13&lt;&gt;"OK"),"n.a.",COUNTIFS(Lotes!$B$5:$B$204,A163,Lotes!$J$5:$J$204,"&gt;0",Lotes!$N$5:$N$204,"CRÍTICO")+COUNTIFS(Lotes!$B$5:$B$204,A163,Lotes!$J$5:$J$204,"&gt;0",Lotes!$N$5:$N$204,"VENCE NA JANELA")))</x:f>
      </x:c>
      <x:c r="N163" s="173" t="str">
        <x:f>IF(A163="","",IF(OR(P163&lt;&gt;"",COUNTIFS(Lotes!$B$5:$B$204,A163,Lotes!$U$5:$U$204,1)&gt;0,Listas!$B$13&lt;&gt;"OK"),"REVISAR DADOS",IF(H163="Inativo","INATIVO",IF(Q163&lt;=F163,"REPOR","OK"))))</x:f>
      </x:c>
      <x:c r="O163" s="27"/>
      <x:c r="P163" s="163" t="str">
        <x:f>IF(COUNTA(A163:H163,O163)=0,"",IF(OR(A163="",COUNTIFS($A$5:$A$204,A163)&lt;&gt;1),"SKU ausente ou duplicado",IF(OR(B163="",D163=""),"Produto ou unidade ausente",IF(OR(NOT(ISNUMBER(F163)),F163&lt;0,NOT(ISNUMBER(G163)),G163&lt;0),"Mínimo ou custo inválido",IF(AND(H163&lt;&gt;"Ativo",H163&lt;&gt;"Inativo"),"Status de produto inválido","")))))</x:f>
      </x:c>
      <x:c r="Q163" s="163" t="str">
        <x:f>IF(A163="","",IF(OR(P163&lt;&gt;"",COUNTIFS(Lotes!$B$5:$B$204,A163,Lotes!$U$5:$U$204,1)&gt;0,Listas!$B$13&lt;&gt;"OK"),"n.a.",SUMIFS(Lotes!$V$5:$V$204,Lotes!$B$5:$B$204,A163)))</x:f>
      </x:c>
      <x:c r="R163" s="163" t="n">
        <x:f>IF(P163="",0,1)</x:f>
        <x:v>0</x:v>
      </x:c>
      <x:c r="S163" s="163" t="n">
        <x:f>IF(COUNTA(A163:H163,O163)=0,0,IF(OR(Listas!$B$19="Todos",A163=Listas!$B$19,A163=""),1,0))</x:f>
        <x:v>0</x:v>
      </x:c>
      <x:c r="T163" s="163" t="n">
        <x:f>IF(S163=1,COUNTIFS($S$5:S163,1),0)</x:f>
        <x:v>0</x:v>
      </x:c>
      <x:c r="U163" s="1"/>
      <x:c r="V163" s="1"/>
      <x:c r="W163" s="1"/>
    </x:row>
    <x:row r="164" ht="32" customHeight="1">
      <x:c r="A164" s="170"/>
      <x:c r="B164" s="170"/>
      <x:c r="C164" s="170"/>
      <x:c r="D164" s="170"/>
      <x:c r="E164" s="170"/>
      <x:c r="F164" s="171"/>
      <x:c r="G164" s="172"/>
      <x:c r="H164" s="170"/>
      <x:c r="I164" s="173" t="str">
        <x:f>IF(A164="","",IF(OR(P164&lt;&gt;"",COUNTIFS(Lotes!$B$5:$B$204,A164,Lotes!$U$5:$U$204,1)&gt;0,Listas!$B$13&lt;&gt;"OK"),"n.a.",SUMIFS(Lotes!$J$5:$J$204,Lotes!$B$5:$B$204,A164)))</x:f>
      </x:c>
      <x:c r="J164" s="174" t="str">
        <x:f>IF(A164="","",IF(OR(P164&lt;&gt;"",COUNTIFS(Lotes!$B$5:$B$204,A164,Lotes!$U$5:$U$204,1)&gt;0,Listas!$B$13&lt;&gt;"OK"),"n.a.",SUMIFS(Lotes!$L$5:$L$204,Lotes!$B$5:$B$204,A164)))</x:f>
      </x:c>
      <x:c r="K164" s="173" t="str">
        <x:f>IF(A164="","",IF(OR(P164&lt;&gt;"",COUNTIFS(Lotes!$B$5:$B$204,A164,Lotes!$U$5:$U$204,1)&gt;0,Listas!$B$13&lt;&gt;"OK"),"n.a.",COUNTIFS(Lotes!$B$5:$B$204,A164,Lotes!$J$5:$J$204,"&gt;0")))</x:f>
      </x:c>
      <x:c r="L164" s="173" t="str">
        <x:f>IF(A164="","",IF(OR(P164&lt;&gt;"",COUNTIFS(Lotes!$B$5:$B$204,A164,Lotes!$U$5:$U$204,1)&gt;0,Listas!$B$13&lt;&gt;"OK"),"n.a.",COUNTIFS(Lotes!$B$5:$B$204,A164,Lotes!$J$5:$J$204,"&gt;0",Lotes!$N$5:$N$204,"VENCIDO")))</x:f>
      </x:c>
      <x:c r="M164" s="173" t="str">
        <x:f>IF(A164="","",IF(OR(P164&lt;&gt;"",COUNTIFS(Lotes!$B$5:$B$204,A164,Lotes!$U$5:$U$204,1)&gt;0,Listas!$B$13&lt;&gt;"OK"),"n.a.",COUNTIFS(Lotes!$B$5:$B$204,A164,Lotes!$J$5:$J$204,"&gt;0",Lotes!$N$5:$N$204,"CRÍTICO")+COUNTIFS(Lotes!$B$5:$B$204,A164,Lotes!$J$5:$J$204,"&gt;0",Lotes!$N$5:$N$204,"VENCE NA JANELA")))</x:f>
      </x:c>
      <x:c r="N164" s="173" t="str">
        <x:f>IF(A164="","",IF(OR(P164&lt;&gt;"",COUNTIFS(Lotes!$B$5:$B$204,A164,Lotes!$U$5:$U$204,1)&gt;0,Listas!$B$13&lt;&gt;"OK"),"REVISAR DADOS",IF(H164="Inativo","INATIVO",IF(Q164&lt;=F164,"REPOR","OK"))))</x:f>
      </x:c>
      <x:c r="O164" s="27"/>
      <x:c r="P164" s="163" t="str">
        <x:f>IF(COUNTA(A164:H164,O164)=0,"",IF(OR(A164="",COUNTIFS($A$5:$A$204,A164)&lt;&gt;1),"SKU ausente ou duplicado",IF(OR(B164="",D164=""),"Produto ou unidade ausente",IF(OR(NOT(ISNUMBER(F164)),F164&lt;0,NOT(ISNUMBER(G164)),G164&lt;0),"Mínimo ou custo inválido",IF(AND(H164&lt;&gt;"Ativo",H164&lt;&gt;"Inativo"),"Status de produto inválido","")))))</x:f>
      </x:c>
      <x:c r="Q164" s="163" t="str">
        <x:f>IF(A164="","",IF(OR(P164&lt;&gt;"",COUNTIFS(Lotes!$B$5:$B$204,A164,Lotes!$U$5:$U$204,1)&gt;0,Listas!$B$13&lt;&gt;"OK"),"n.a.",SUMIFS(Lotes!$V$5:$V$204,Lotes!$B$5:$B$204,A164)))</x:f>
      </x:c>
      <x:c r="R164" s="163" t="n">
        <x:f>IF(P164="",0,1)</x:f>
        <x:v>0</x:v>
      </x:c>
      <x:c r="S164" s="163" t="n">
        <x:f>IF(COUNTA(A164:H164,O164)=0,0,IF(OR(Listas!$B$19="Todos",A164=Listas!$B$19,A164=""),1,0))</x:f>
        <x:v>0</x:v>
      </x:c>
      <x:c r="T164" s="163" t="n">
        <x:f>IF(S164=1,COUNTIFS($S$5:S164,1),0)</x:f>
        <x:v>0</x:v>
      </x:c>
      <x:c r="U164" s="1"/>
      <x:c r="V164" s="1"/>
      <x:c r="W164" s="1"/>
    </x:row>
    <x:row r="165" ht="32" customHeight="1">
      <x:c r="A165" s="170"/>
      <x:c r="B165" s="170"/>
      <x:c r="C165" s="170"/>
      <x:c r="D165" s="170"/>
      <x:c r="E165" s="170"/>
      <x:c r="F165" s="171"/>
      <x:c r="G165" s="172"/>
      <x:c r="H165" s="170"/>
      <x:c r="I165" s="173" t="str">
        <x:f>IF(A165="","",IF(OR(P165&lt;&gt;"",COUNTIFS(Lotes!$B$5:$B$204,A165,Lotes!$U$5:$U$204,1)&gt;0,Listas!$B$13&lt;&gt;"OK"),"n.a.",SUMIFS(Lotes!$J$5:$J$204,Lotes!$B$5:$B$204,A165)))</x:f>
      </x:c>
      <x:c r="J165" s="174" t="str">
        <x:f>IF(A165="","",IF(OR(P165&lt;&gt;"",COUNTIFS(Lotes!$B$5:$B$204,A165,Lotes!$U$5:$U$204,1)&gt;0,Listas!$B$13&lt;&gt;"OK"),"n.a.",SUMIFS(Lotes!$L$5:$L$204,Lotes!$B$5:$B$204,A165)))</x:f>
      </x:c>
      <x:c r="K165" s="173" t="str">
        <x:f>IF(A165="","",IF(OR(P165&lt;&gt;"",COUNTIFS(Lotes!$B$5:$B$204,A165,Lotes!$U$5:$U$204,1)&gt;0,Listas!$B$13&lt;&gt;"OK"),"n.a.",COUNTIFS(Lotes!$B$5:$B$204,A165,Lotes!$J$5:$J$204,"&gt;0")))</x:f>
      </x:c>
      <x:c r="L165" s="173" t="str">
        <x:f>IF(A165="","",IF(OR(P165&lt;&gt;"",COUNTIFS(Lotes!$B$5:$B$204,A165,Lotes!$U$5:$U$204,1)&gt;0,Listas!$B$13&lt;&gt;"OK"),"n.a.",COUNTIFS(Lotes!$B$5:$B$204,A165,Lotes!$J$5:$J$204,"&gt;0",Lotes!$N$5:$N$204,"VENCIDO")))</x:f>
      </x:c>
      <x:c r="M165" s="173" t="str">
        <x:f>IF(A165="","",IF(OR(P165&lt;&gt;"",COUNTIFS(Lotes!$B$5:$B$204,A165,Lotes!$U$5:$U$204,1)&gt;0,Listas!$B$13&lt;&gt;"OK"),"n.a.",COUNTIFS(Lotes!$B$5:$B$204,A165,Lotes!$J$5:$J$204,"&gt;0",Lotes!$N$5:$N$204,"CRÍTICO")+COUNTIFS(Lotes!$B$5:$B$204,A165,Lotes!$J$5:$J$204,"&gt;0",Lotes!$N$5:$N$204,"VENCE NA JANELA")))</x:f>
      </x:c>
      <x:c r="N165" s="173" t="str">
        <x:f>IF(A165="","",IF(OR(P165&lt;&gt;"",COUNTIFS(Lotes!$B$5:$B$204,A165,Lotes!$U$5:$U$204,1)&gt;0,Listas!$B$13&lt;&gt;"OK"),"REVISAR DADOS",IF(H165="Inativo","INATIVO",IF(Q165&lt;=F165,"REPOR","OK"))))</x:f>
      </x:c>
      <x:c r="O165" s="27"/>
      <x:c r="P165" s="163" t="str">
        <x:f>IF(COUNTA(A165:H165,O165)=0,"",IF(OR(A165="",COUNTIFS($A$5:$A$204,A165)&lt;&gt;1),"SKU ausente ou duplicado",IF(OR(B165="",D165=""),"Produto ou unidade ausente",IF(OR(NOT(ISNUMBER(F165)),F165&lt;0,NOT(ISNUMBER(G165)),G165&lt;0),"Mínimo ou custo inválido",IF(AND(H165&lt;&gt;"Ativo",H165&lt;&gt;"Inativo"),"Status de produto inválido","")))))</x:f>
      </x:c>
      <x:c r="Q165" s="163" t="str">
        <x:f>IF(A165="","",IF(OR(P165&lt;&gt;"",COUNTIFS(Lotes!$B$5:$B$204,A165,Lotes!$U$5:$U$204,1)&gt;0,Listas!$B$13&lt;&gt;"OK"),"n.a.",SUMIFS(Lotes!$V$5:$V$204,Lotes!$B$5:$B$204,A165)))</x:f>
      </x:c>
      <x:c r="R165" s="163" t="n">
        <x:f>IF(P165="",0,1)</x:f>
        <x:v>0</x:v>
      </x:c>
      <x:c r="S165" s="163" t="n">
        <x:f>IF(COUNTA(A165:H165,O165)=0,0,IF(OR(Listas!$B$19="Todos",A165=Listas!$B$19,A165=""),1,0))</x:f>
        <x:v>0</x:v>
      </x:c>
      <x:c r="T165" s="163" t="n">
        <x:f>IF(S165=1,COUNTIFS($S$5:S165,1),0)</x:f>
        <x:v>0</x:v>
      </x:c>
      <x:c r="U165" s="1"/>
      <x:c r="V165" s="1"/>
      <x:c r="W165" s="1"/>
    </x:row>
    <x:row r="166" ht="32" customHeight="1">
      <x:c r="A166" s="170"/>
      <x:c r="B166" s="170"/>
      <x:c r="C166" s="170"/>
      <x:c r="D166" s="170"/>
      <x:c r="E166" s="170"/>
      <x:c r="F166" s="171"/>
      <x:c r="G166" s="172"/>
      <x:c r="H166" s="170"/>
      <x:c r="I166" s="173" t="str">
        <x:f>IF(A166="","",IF(OR(P166&lt;&gt;"",COUNTIFS(Lotes!$B$5:$B$204,A166,Lotes!$U$5:$U$204,1)&gt;0,Listas!$B$13&lt;&gt;"OK"),"n.a.",SUMIFS(Lotes!$J$5:$J$204,Lotes!$B$5:$B$204,A166)))</x:f>
      </x:c>
      <x:c r="J166" s="174" t="str">
        <x:f>IF(A166="","",IF(OR(P166&lt;&gt;"",COUNTIFS(Lotes!$B$5:$B$204,A166,Lotes!$U$5:$U$204,1)&gt;0,Listas!$B$13&lt;&gt;"OK"),"n.a.",SUMIFS(Lotes!$L$5:$L$204,Lotes!$B$5:$B$204,A166)))</x:f>
      </x:c>
      <x:c r="K166" s="173" t="str">
        <x:f>IF(A166="","",IF(OR(P166&lt;&gt;"",COUNTIFS(Lotes!$B$5:$B$204,A166,Lotes!$U$5:$U$204,1)&gt;0,Listas!$B$13&lt;&gt;"OK"),"n.a.",COUNTIFS(Lotes!$B$5:$B$204,A166,Lotes!$J$5:$J$204,"&gt;0")))</x:f>
      </x:c>
      <x:c r="L166" s="173" t="str">
        <x:f>IF(A166="","",IF(OR(P166&lt;&gt;"",COUNTIFS(Lotes!$B$5:$B$204,A166,Lotes!$U$5:$U$204,1)&gt;0,Listas!$B$13&lt;&gt;"OK"),"n.a.",COUNTIFS(Lotes!$B$5:$B$204,A166,Lotes!$J$5:$J$204,"&gt;0",Lotes!$N$5:$N$204,"VENCIDO")))</x:f>
      </x:c>
      <x:c r="M166" s="173" t="str">
        <x:f>IF(A166="","",IF(OR(P166&lt;&gt;"",COUNTIFS(Lotes!$B$5:$B$204,A166,Lotes!$U$5:$U$204,1)&gt;0,Listas!$B$13&lt;&gt;"OK"),"n.a.",COUNTIFS(Lotes!$B$5:$B$204,A166,Lotes!$J$5:$J$204,"&gt;0",Lotes!$N$5:$N$204,"CRÍTICO")+COUNTIFS(Lotes!$B$5:$B$204,A166,Lotes!$J$5:$J$204,"&gt;0",Lotes!$N$5:$N$204,"VENCE NA JANELA")))</x:f>
      </x:c>
      <x:c r="N166" s="173" t="str">
        <x:f>IF(A166="","",IF(OR(P166&lt;&gt;"",COUNTIFS(Lotes!$B$5:$B$204,A166,Lotes!$U$5:$U$204,1)&gt;0,Listas!$B$13&lt;&gt;"OK"),"REVISAR DADOS",IF(H166="Inativo","INATIVO",IF(Q166&lt;=F166,"REPOR","OK"))))</x:f>
      </x:c>
      <x:c r="O166" s="27"/>
      <x:c r="P166" s="163" t="str">
        <x:f>IF(COUNTA(A166:H166,O166)=0,"",IF(OR(A166="",COUNTIFS($A$5:$A$204,A166)&lt;&gt;1),"SKU ausente ou duplicado",IF(OR(B166="",D166=""),"Produto ou unidade ausente",IF(OR(NOT(ISNUMBER(F166)),F166&lt;0,NOT(ISNUMBER(G166)),G166&lt;0),"Mínimo ou custo inválido",IF(AND(H166&lt;&gt;"Ativo",H166&lt;&gt;"Inativo"),"Status de produto inválido","")))))</x:f>
      </x:c>
      <x:c r="Q166" s="163" t="str">
        <x:f>IF(A166="","",IF(OR(P166&lt;&gt;"",COUNTIFS(Lotes!$B$5:$B$204,A166,Lotes!$U$5:$U$204,1)&gt;0,Listas!$B$13&lt;&gt;"OK"),"n.a.",SUMIFS(Lotes!$V$5:$V$204,Lotes!$B$5:$B$204,A166)))</x:f>
      </x:c>
      <x:c r="R166" s="163" t="n">
        <x:f>IF(P166="",0,1)</x:f>
        <x:v>0</x:v>
      </x:c>
      <x:c r="S166" s="163" t="n">
        <x:f>IF(COUNTA(A166:H166,O166)=0,0,IF(OR(Listas!$B$19="Todos",A166=Listas!$B$19,A166=""),1,0))</x:f>
        <x:v>0</x:v>
      </x:c>
      <x:c r="T166" s="163" t="n">
        <x:f>IF(S166=1,COUNTIFS($S$5:S166,1),0)</x:f>
        <x:v>0</x:v>
      </x:c>
      <x:c r="U166" s="1"/>
      <x:c r="V166" s="1"/>
      <x:c r="W166" s="1"/>
    </x:row>
    <x:row r="167" ht="32" customHeight="1">
      <x:c r="A167" s="170"/>
      <x:c r="B167" s="170"/>
      <x:c r="C167" s="170"/>
      <x:c r="D167" s="170"/>
      <x:c r="E167" s="170"/>
      <x:c r="F167" s="171"/>
      <x:c r="G167" s="172"/>
      <x:c r="H167" s="170"/>
      <x:c r="I167" s="173" t="str">
        <x:f>IF(A167="","",IF(OR(P167&lt;&gt;"",COUNTIFS(Lotes!$B$5:$B$204,A167,Lotes!$U$5:$U$204,1)&gt;0,Listas!$B$13&lt;&gt;"OK"),"n.a.",SUMIFS(Lotes!$J$5:$J$204,Lotes!$B$5:$B$204,A167)))</x:f>
      </x:c>
      <x:c r="J167" s="174" t="str">
        <x:f>IF(A167="","",IF(OR(P167&lt;&gt;"",COUNTIFS(Lotes!$B$5:$B$204,A167,Lotes!$U$5:$U$204,1)&gt;0,Listas!$B$13&lt;&gt;"OK"),"n.a.",SUMIFS(Lotes!$L$5:$L$204,Lotes!$B$5:$B$204,A167)))</x:f>
      </x:c>
      <x:c r="K167" s="173" t="str">
        <x:f>IF(A167="","",IF(OR(P167&lt;&gt;"",COUNTIFS(Lotes!$B$5:$B$204,A167,Lotes!$U$5:$U$204,1)&gt;0,Listas!$B$13&lt;&gt;"OK"),"n.a.",COUNTIFS(Lotes!$B$5:$B$204,A167,Lotes!$J$5:$J$204,"&gt;0")))</x:f>
      </x:c>
      <x:c r="L167" s="173" t="str">
        <x:f>IF(A167="","",IF(OR(P167&lt;&gt;"",COUNTIFS(Lotes!$B$5:$B$204,A167,Lotes!$U$5:$U$204,1)&gt;0,Listas!$B$13&lt;&gt;"OK"),"n.a.",COUNTIFS(Lotes!$B$5:$B$204,A167,Lotes!$J$5:$J$204,"&gt;0",Lotes!$N$5:$N$204,"VENCIDO")))</x:f>
      </x:c>
      <x:c r="M167" s="173" t="str">
        <x:f>IF(A167="","",IF(OR(P167&lt;&gt;"",COUNTIFS(Lotes!$B$5:$B$204,A167,Lotes!$U$5:$U$204,1)&gt;0,Listas!$B$13&lt;&gt;"OK"),"n.a.",COUNTIFS(Lotes!$B$5:$B$204,A167,Lotes!$J$5:$J$204,"&gt;0",Lotes!$N$5:$N$204,"CRÍTICO")+COUNTIFS(Lotes!$B$5:$B$204,A167,Lotes!$J$5:$J$204,"&gt;0",Lotes!$N$5:$N$204,"VENCE NA JANELA")))</x:f>
      </x:c>
      <x:c r="N167" s="173" t="str">
        <x:f>IF(A167="","",IF(OR(P167&lt;&gt;"",COUNTIFS(Lotes!$B$5:$B$204,A167,Lotes!$U$5:$U$204,1)&gt;0,Listas!$B$13&lt;&gt;"OK"),"REVISAR DADOS",IF(H167="Inativo","INATIVO",IF(Q167&lt;=F167,"REPOR","OK"))))</x:f>
      </x:c>
      <x:c r="O167" s="27"/>
      <x:c r="P167" s="163" t="str">
        <x:f>IF(COUNTA(A167:H167,O167)=0,"",IF(OR(A167="",COUNTIFS($A$5:$A$204,A167)&lt;&gt;1),"SKU ausente ou duplicado",IF(OR(B167="",D167=""),"Produto ou unidade ausente",IF(OR(NOT(ISNUMBER(F167)),F167&lt;0,NOT(ISNUMBER(G167)),G167&lt;0),"Mínimo ou custo inválido",IF(AND(H167&lt;&gt;"Ativo",H167&lt;&gt;"Inativo"),"Status de produto inválido","")))))</x:f>
      </x:c>
      <x:c r="Q167" s="163" t="str">
        <x:f>IF(A167="","",IF(OR(P167&lt;&gt;"",COUNTIFS(Lotes!$B$5:$B$204,A167,Lotes!$U$5:$U$204,1)&gt;0,Listas!$B$13&lt;&gt;"OK"),"n.a.",SUMIFS(Lotes!$V$5:$V$204,Lotes!$B$5:$B$204,A167)))</x:f>
      </x:c>
      <x:c r="R167" s="163" t="n">
        <x:f>IF(P167="",0,1)</x:f>
        <x:v>0</x:v>
      </x:c>
      <x:c r="S167" s="163" t="n">
        <x:f>IF(COUNTA(A167:H167,O167)=0,0,IF(OR(Listas!$B$19="Todos",A167=Listas!$B$19,A167=""),1,0))</x:f>
        <x:v>0</x:v>
      </x:c>
      <x:c r="T167" s="163" t="n">
        <x:f>IF(S167=1,COUNTIFS($S$5:S167,1),0)</x:f>
        <x:v>0</x:v>
      </x:c>
      <x:c r="U167" s="1"/>
      <x:c r="V167" s="1"/>
      <x:c r="W167" s="1"/>
    </x:row>
    <x:row r="168" ht="32" customHeight="1">
      <x:c r="A168" s="170"/>
      <x:c r="B168" s="170"/>
      <x:c r="C168" s="170"/>
      <x:c r="D168" s="170"/>
      <x:c r="E168" s="170"/>
      <x:c r="F168" s="171"/>
      <x:c r="G168" s="172"/>
      <x:c r="H168" s="170"/>
      <x:c r="I168" s="173" t="str">
        <x:f>IF(A168="","",IF(OR(P168&lt;&gt;"",COUNTIFS(Lotes!$B$5:$B$204,A168,Lotes!$U$5:$U$204,1)&gt;0,Listas!$B$13&lt;&gt;"OK"),"n.a.",SUMIFS(Lotes!$J$5:$J$204,Lotes!$B$5:$B$204,A168)))</x:f>
      </x:c>
      <x:c r="J168" s="174" t="str">
        <x:f>IF(A168="","",IF(OR(P168&lt;&gt;"",COUNTIFS(Lotes!$B$5:$B$204,A168,Lotes!$U$5:$U$204,1)&gt;0,Listas!$B$13&lt;&gt;"OK"),"n.a.",SUMIFS(Lotes!$L$5:$L$204,Lotes!$B$5:$B$204,A168)))</x:f>
      </x:c>
      <x:c r="K168" s="173" t="str">
        <x:f>IF(A168="","",IF(OR(P168&lt;&gt;"",COUNTIFS(Lotes!$B$5:$B$204,A168,Lotes!$U$5:$U$204,1)&gt;0,Listas!$B$13&lt;&gt;"OK"),"n.a.",COUNTIFS(Lotes!$B$5:$B$204,A168,Lotes!$J$5:$J$204,"&gt;0")))</x:f>
      </x:c>
      <x:c r="L168" s="173" t="str">
        <x:f>IF(A168="","",IF(OR(P168&lt;&gt;"",COUNTIFS(Lotes!$B$5:$B$204,A168,Lotes!$U$5:$U$204,1)&gt;0,Listas!$B$13&lt;&gt;"OK"),"n.a.",COUNTIFS(Lotes!$B$5:$B$204,A168,Lotes!$J$5:$J$204,"&gt;0",Lotes!$N$5:$N$204,"VENCIDO")))</x:f>
      </x:c>
      <x:c r="M168" s="173" t="str">
        <x:f>IF(A168="","",IF(OR(P168&lt;&gt;"",COUNTIFS(Lotes!$B$5:$B$204,A168,Lotes!$U$5:$U$204,1)&gt;0,Listas!$B$13&lt;&gt;"OK"),"n.a.",COUNTIFS(Lotes!$B$5:$B$204,A168,Lotes!$J$5:$J$204,"&gt;0",Lotes!$N$5:$N$204,"CRÍTICO")+COUNTIFS(Lotes!$B$5:$B$204,A168,Lotes!$J$5:$J$204,"&gt;0",Lotes!$N$5:$N$204,"VENCE NA JANELA")))</x:f>
      </x:c>
      <x:c r="N168" s="173" t="str">
        <x:f>IF(A168="","",IF(OR(P168&lt;&gt;"",COUNTIFS(Lotes!$B$5:$B$204,A168,Lotes!$U$5:$U$204,1)&gt;0,Listas!$B$13&lt;&gt;"OK"),"REVISAR DADOS",IF(H168="Inativo","INATIVO",IF(Q168&lt;=F168,"REPOR","OK"))))</x:f>
      </x:c>
      <x:c r="O168" s="27"/>
      <x:c r="P168" s="163" t="str">
        <x:f>IF(COUNTA(A168:H168,O168)=0,"",IF(OR(A168="",COUNTIFS($A$5:$A$204,A168)&lt;&gt;1),"SKU ausente ou duplicado",IF(OR(B168="",D168=""),"Produto ou unidade ausente",IF(OR(NOT(ISNUMBER(F168)),F168&lt;0,NOT(ISNUMBER(G168)),G168&lt;0),"Mínimo ou custo inválido",IF(AND(H168&lt;&gt;"Ativo",H168&lt;&gt;"Inativo"),"Status de produto inválido","")))))</x:f>
      </x:c>
      <x:c r="Q168" s="163" t="str">
        <x:f>IF(A168="","",IF(OR(P168&lt;&gt;"",COUNTIFS(Lotes!$B$5:$B$204,A168,Lotes!$U$5:$U$204,1)&gt;0,Listas!$B$13&lt;&gt;"OK"),"n.a.",SUMIFS(Lotes!$V$5:$V$204,Lotes!$B$5:$B$204,A168)))</x:f>
      </x:c>
      <x:c r="R168" s="163" t="n">
        <x:f>IF(P168="",0,1)</x:f>
        <x:v>0</x:v>
      </x:c>
      <x:c r="S168" s="163" t="n">
        <x:f>IF(COUNTA(A168:H168,O168)=0,0,IF(OR(Listas!$B$19="Todos",A168=Listas!$B$19,A168=""),1,0))</x:f>
        <x:v>0</x:v>
      </x:c>
      <x:c r="T168" s="163" t="n">
        <x:f>IF(S168=1,COUNTIFS($S$5:S168,1),0)</x:f>
        <x:v>0</x:v>
      </x:c>
      <x:c r="U168" s="1"/>
      <x:c r="V168" s="1"/>
      <x:c r="W168" s="1"/>
    </x:row>
    <x:row r="169" ht="32" customHeight="1">
      <x:c r="A169" s="170"/>
      <x:c r="B169" s="170"/>
      <x:c r="C169" s="170"/>
      <x:c r="D169" s="170"/>
      <x:c r="E169" s="170"/>
      <x:c r="F169" s="171"/>
      <x:c r="G169" s="172"/>
      <x:c r="H169" s="170"/>
      <x:c r="I169" s="173" t="str">
        <x:f>IF(A169="","",IF(OR(P169&lt;&gt;"",COUNTIFS(Lotes!$B$5:$B$204,A169,Lotes!$U$5:$U$204,1)&gt;0,Listas!$B$13&lt;&gt;"OK"),"n.a.",SUMIFS(Lotes!$J$5:$J$204,Lotes!$B$5:$B$204,A169)))</x:f>
      </x:c>
      <x:c r="J169" s="174" t="str">
        <x:f>IF(A169="","",IF(OR(P169&lt;&gt;"",COUNTIFS(Lotes!$B$5:$B$204,A169,Lotes!$U$5:$U$204,1)&gt;0,Listas!$B$13&lt;&gt;"OK"),"n.a.",SUMIFS(Lotes!$L$5:$L$204,Lotes!$B$5:$B$204,A169)))</x:f>
      </x:c>
      <x:c r="K169" s="173" t="str">
        <x:f>IF(A169="","",IF(OR(P169&lt;&gt;"",COUNTIFS(Lotes!$B$5:$B$204,A169,Lotes!$U$5:$U$204,1)&gt;0,Listas!$B$13&lt;&gt;"OK"),"n.a.",COUNTIFS(Lotes!$B$5:$B$204,A169,Lotes!$J$5:$J$204,"&gt;0")))</x:f>
      </x:c>
      <x:c r="L169" s="173" t="str">
        <x:f>IF(A169="","",IF(OR(P169&lt;&gt;"",COUNTIFS(Lotes!$B$5:$B$204,A169,Lotes!$U$5:$U$204,1)&gt;0,Listas!$B$13&lt;&gt;"OK"),"n.a.",COUNTIFS(Lotes!$B$5:$B$204,A169,Lotes!$J$5:$J$204,"&gt;0",Lotes!$N$5:$N$204,"VENCIDO")))</x:f>
      </x:c>
      <x:c r="M169" s="173" t="str">
        <x:f>IF(A169="","",IF(OR(P169&lt;&gt;"",COUNTIFS(Lotes!$B$5:$B$204,A169,Lotes!$U$5:$U$204,1)&gt;0,Listas!$B$13&lt;&gt;"OK"),"n.a.",COUNTIFS(Lotes!$B$5:$B$204,A169,Lotes!$J$5:$J$204,"&gt;0",Lotes!$N$5:$N$204,"CRÍTICO")+COUNTIFS(Lotes!$B$5:$B$204,A169,Lotes!$J$5:$J$204,"&gt;0",Lotes!$N$5:$N$204,"VENCE NA JANELA")))</x:f>
      </x:c>
      <x:c r="N169" s="173" t="str">
        <x:f>IF(A169="","",IF(OR(P169&lt;&gt;"",COUNTIFS(Lotes!$B$5:$B$204,A169,Lotes!$U$5:$U$204,1)&gt;0,Listas!$B$13&lt;&gt;"OK"),"REVISAR DADOS",IF(H169="Inativo","INATIVO",IF(Q169&lt;=F169,"REPOR","OK"))))</x:f>
      </x:c>
      <x:c r="O169" s="27"/>
      <x:c r="P169" s="163" t="str">
        <x:f>IF(COUNTA(A169:H169,O169)=0,"",IF(OR(A169="",COUNTIFS($A$5:$A$204,A169)&lt;&gt;1),"SKU ausente ou duplicado",IF(OR(B169="",D169=""),"Produto ou unidade ausente",IF(OR(NOT(ISNUMBER(F169)),F169&lt;0,NOT(ISNUMBER(G169)),G169&lt;0),"Mínimo ou custo inválido",IF(AND(H169&lt;&gt;"Ativo",H169&lt;&gt;"Inativo"),"Status de produto inválido","")))))</x:f>
      </x:c>
      <x:c r="Q169" s="163" t="str">
        <x:f>IF(A169="","",IF(OR(P169&lt;&gt;"",COUNTIFS(Lotes!$B$5:$B$204,A169,Lotes!$U$5:$U$204,1)&gt;0,Listas!$B$13&lt;&gt;"OK"),"n.a.",SUMIFS(Lotes!$V$5:$V$204,Lotes!$B$5:$B$204,A169)))</x:f>
      </x:c>
      <x:c r="R169" s="163" t="n">
        <x:f>IF(P169="",0,1)</x:f>
        <x:v>0</x:v>
      </x:c>
      <x:c r="S169" s="163" t="n">
        <x:f>IF(COUNTA(A169:H169,O169)=0,0,IF(OR(Listas!$B$19="Todos",A169=Listas!$B$19,A169=""),1,0))</x:f>
        <x:v>0</x:v>
      </x:c>
      <x:c r="T169" s="163" t="n">
        <x:f>IF(S169=1,COUNTIFS($S$5:S169,1),0)</x:f>
        <x:v>0</x:v>
      </x:c>
      <x:c r="U169" s="1"/>
      <x:c r="V169" s="1"/>
      <x:c r="W169" s="1"/>
    </x:row>
    <x:row r="170" ht="32" customHeight="1">
      <x:c r="A170" s="170"/>
      <x:c r="B170" s="170"/>
      <x:c r="C170" s="170"/>
      <x:c r="D170" s="170"/>
      <x:c r="E170" s="170"/>
      <x:c r="F170" s="171"/>
      <x:c r="G170" s="172"/>
      <x:c r="H170" s="170"/>
      <x:c r="I170" s="173" t="str">
        <x:f>IF(A170="","",IF(OR(P170&lt;&gt;"",COUNTIFS(Lotes!$B$5:$B$204,A170,Lotes!$U$5:$U$204,1)&gt;0,Listas!$B$13&lt;&gt;"OK"),"n.a.",SUMIFS(Lotes!$J$5:$J$204,Lotes!$B$5:$B$204,A170)))</x:f>
      </x:c>
      <x:c r="J170" s="174" t="str">
        <x:f>IF(A170="","",IF(OR(P170&lt;&gt;"",COUNTIFS(Lotes!$B$5:$B$204,A170,Lotes!$U$5:$U$204,1)&gt;0,Listas!$B$13&lt;&gt;"OK"),"n.a.",SUMIFS(Lotes!$L$5:$L$204,Lotes!$B$5:$B$204,A170)))</x:f>
      </x:c>
      <x:c r="K170" s="173" t="str">
        <x:f>IF(A170="","",IF(OR(P170&lt;&gt;"",COUNTIFS(Lotes!$B$5:$B$204,A170,Lotes!$U$5:$U$204,1)&gt;0,Listas!$B$13&lt;&gt;"OK"),"n.a.",COUNTIFS(Lotes!$B$5:$B$204,A170,Lotes!$J$5:$J$204,"&gt;0")))</x:f>
      </x:c>
      <x:c r="L170" s="173" t="str">
        <x:f>IF(A170="","",IF(OR(P170&lt;&gt;"",COUNTIFS(Lotes!$B$5:$B$204,A170,Lotes!$U$5:$U$204,1)&gt;0,Listas!$B$13&lt;&gt;"OK"),"n.a.",COUNTIFS(Lotes!$B$5:$B$204,A170,Lotes!$J$5:$J$204,"&gt;0",Lotes!$N$5:$N$204,"VENCIDO")))</x:f>
      </x:c>
      <x:c r="M170" s="173" t="str">
        <x:f>IF(A170="","",IF(OR(P170&lt;&gt;"",COUNTIFS(Lotes!$B$5:$B$204,A170,Lotes!$U$5:$U$204,1)&gt;0,Listas!$B$13&lt;&gt;"OK"),"n.a.",COUNTIFS(Lotes!$B$5:$B$204,A170,Lotes!$J$5:$J$204,"&gt;0",Lotes!$N$5:$N$204,"CRÍTICO")+COUNTIFS(Lotes!$B$5:$B$204,A170,Lotes!$J$5:$J$204,"&gt;0",Lotes!$N$5:$N$204,"VENCE NA JANELA")))</x:f>
      </x:c>
      <x:c r="N170" s="173" t="str">
        <x:f>IF(A170="","",IF(OR(P170&lt;&gt;"",COUNTIFS(Lotes!$B$5:$B$204,A170,Lotes!$U$5:$U$204,1)&gt;0,Listas!$B$13&lt;&gt;"OK"),"REVISAR DADOS",IF(H170="Inativo","INATIVO",IF(Q170&lt;=F170,"REPOR","OK"))))</x:f>
      </x:c>
      <x:c r="O170" s="27"/>
      <x:c r="P170" s="163" t="str">
        <x:f>IF(COUNTA(A170:H170,O170)=0,"",IF(OR(A170="",COUNTIFS($A$5:$A$204,A170)&lt;&gt;1),"SKU ausente ou duplicado",IF(OR(B170="",D170=""),"Produto ou unidade ausente",IF(OR(NOT(ISNUMBER(F170)),F170&lt;0,NOT(ISNUMBER(G170)),G170&lt;0),"Mínimo ou custo inválido",IF(AND(H170&lt;&gt;"Ativo",H170&lt;&gt;"Inativo"),"Status de produto inválido","")))))</x:f>
      </x:c>
      <x:c r="Q170" s="163" t="str">
        <x:f>IF(A170="","",IF(OR(P170&lt;&gt;"",COUNTIFS(Lotes!$B$5:$B$204,A170,Lotes!$U$5:$U$204,1)&gt;0,Listas!$B$13&lt;&gt;"OK"),"n.a.",SUMIFS(Lotes!$V$5:$V$204,Lotes!$B$5:$B$204,A170)))</x:f>
      </x:c>
      <x:c r="R170" s="163" t="n">
        <x:f>IF(P170="",0,1)</x:f>
        <x:v>0</x:v>
      </x:c>
      <x:c r="S170" s="163" t="n">
        <x:f>IF(COUNTA(A170:H170,O170)=0,0,IF(OR(Listas!$B$19="Todos",A170=Listas!$B$19,A170=""),1,0))</x:f>
        <x:v>0</x:v>
      </x:c>
      <x:c r="T170" s="163" t="n">
        <x:f>IF(S170=1,COUNTIFS($S$5:S170,1),0)</x:f>
        <x:v>0</x:v>
      </x:c>
      <x:c r="U170" s="1"/>
      <x:c r="V170" s="1"/>
      <x:c r="W170" s="1"/>
    </x:row>
    <x:row r="171" ht="32" customHeight="1">
      <x:c r="A171" s="170"/>
      <x:c r="B171" s="170"/>
      <x:c r="C171" s="170"/>
      <x:c r="D171" s="170"/>
      <x:c r="E171" s="170"/>
      <x:c r="F171" s="171"/>
      <x:c r="G171" s="172"/>
      <x:c r="H171" s="170"/>
      <x:c r="I171" s="173" t="str">
        <x:f>IF(A171="","",IF(OR(P171&lt;&gt;"",COUNTIFS(Lotes!$B$5:$B$204,A171,Lotes!$U$5:$U$204,1)&gt;0,Listas!$B$13&lt;&gt;"OK"),"n.a.",SUMIFS(Lotes!$J$5:$J$204,Lotes!$B$5:$B$204,A171)))</x:f>
      </x:c>
      <x:c r="J171" s="174" t="str">
        <x:f>IF(A171="","",IF(OR(P171&lt;&gt;"",COUNTIFS(Lotes!$B$5:$B$204,A171,Lotes!$U$5:$U$204,1)&gt;0,Listas!$B$13&lt;&gt;"OK"),"n.a.",SUMIFS(Lotes!$L$5:$L$204,Lotes!$B$5:$B$204,A171)))</x:f>
      </x:c>
      <x:c r="K171" s="173" t="str">
        <x:f>IF(A171="","",IF(OR(P171&lt;&gt;"",COUNTIFS(Lotes!$B$5:$B$204,A171,Lotes!$U$5:$U$204,1)&gt;0,Listas!$B$13&lt;&gt;"OK"),"n.a.",COUNTIFS(Lotes!$B$5:$B$204,A171,Lotes!$J$5:$J$204,"&gt;0")))</x:f>
      </x:c>
      <x:c r="L171" s="173" t="str">
        <x:f>IF(A171="","",IF(OR(P171&lt;&gt;"",COUNTIFS(Lotes!$B$5:$B$204,A171,Lotes!$U$5:$U$204,1)&gt;0,Listas!$B$13&lt;&gt;"OK"),"n.a.",COUNTIFS(Lotes!$B$5:$B$204,A171,Lotes!$J$5:$J$204,"&gt;0",Lotes!$N$5:$N$204,"VENCIDO")))</x:f>
      </x:c>
      <x:c r="M171" s="173" t="str">
        <x:f>IF(A171="","",IF(OR(P171&lt;&gt;"",COUNTIFS(Lotes!$B$5:$B$204,A171,Lotes!$U$5:$U$204,1)&gt;0,Listas!$B$13&lt;&gt;"OK"),"n.a.",COUNTIFS(Lotes!$B$5:$B$204,A171,Lotes!$J$5:$J$204,"&gt;0",Lotes!$N$5:$N$204,"CRÍTICO")+COUNTIFS(Lotes!$B$5:$B$204,A171,Lotes!$J$5:$J$204,"&gt;0",Lotes!$N$5:$N$204,"VENCE NA JANELA")))</x:f>
      </x:c>
      <x:c r="N171" s="173" t="str">
        <x:f>IF(A171="","",IF(OR(P171&lt;&gt;"",COUNTIFS(Lotes!$B$5:$B$204,A171,Lotes!$U$5:$U$204,1)&gt;0,Listas!$B$13&lt;&gt;"OK"),"REVISAR DADOS",IF(H171="Inativo","INATIVO",IF(Q171&lt;=F171,"REPOR","OK"))))</x:f>
      </x:c>
      <x:c r="O171" s="27"/>
      <x:c r="P171" s="163" t="str">
        <x:f>IF(COUNTA(A171:H171,O171)=0,"",IF(OR(A171="",COUNTIFS($A$5:$A$204,A171)&lt;&gt;1),"SKU ausente ou duplicado",IF(OR(B171="",D171=""),"Produto ou unidade ausente",IF(OR(NOT(ISNUMBER(F171)),F171&lt;0,NOT(ISNUMBER(G171)),G171&lt;0),"Mínimo ou custo inválido",IF(AND(H171&lt;&gt;"Ativo",H171&lt;&gt;"Inativo"),"Status de produto inválido","")))))</x:f>
      </x:c>
      <x:c r="Q171" s="163" t="str">
        <x:f>IF(A171="","",IF(OR(P171&lt;&gt;"",COUNTIFS(Lotes!$B$5:$B$204,A171,Lotes!$U$5:$U$204,1)&gt;0,Listas!$B$13&lt;&gt;"OK"),"n.a.",SUMIFS(Lotes!$V$5:$V$204,Lotes!$B$5:$B$204,A171)))</x:f>
      </x:c>
      <x:c r="R171" s="163" t="n">
        <x:f>IF(P171="",0,1)</x:f>
        <x:v>0</x:v>
      </x:c>
      <x:c r="S171" s="163" t="n">
        <x:f>IF(COUNTA(A171:H171,O171)=0,0,IF(OR(Listas!$B$19="Todos",A171=Listas!$B$19,A171=""),1,0))</x:f>
        <x:v>0</x:v>
      </x:c>
      <x:c r="T171" s="163" t="n">
        <x:f>IF(S171=1,COUNTIFS($S$5:S171,1),0)</x:f>
        <x:v>0</x:v>
      </x:c>
      <x:c r="U171" s="1"/>
      <x:c r="V171" s="1"/>
      <x:c r="W171" s="1"/>
    </x:row>
    <x:row r="172" ht="32" customHeight="1">
      <x:c r="A172" s="170"/>
      <x:c r="B172" s="170"/>
      <x:c r="C172" s="170"/>
      <x:c r="D172" s="170"/>
      <x:c r="E172" s="170"/>
      <x:c r="F172" s="171"/>
      <x:c r="G172" s="172"/>
      <x:c r="H172" s="170"/>
      <x:c r="I172" s="173" t="str">
        <x:f>IF(A172="","",IF(OR(P172&lt;&gt;"",COUNTIFS(Lotes!$B$5:$B$204,A172,Lotes!$U$5:$U$204,1)&gt;0,Listas!$B$13&lt;&gt;"OK"),"n.a.",SUMIFS(Lotes!$J$5:$J$204,Lotes!$B$5:$B$204,A172)))</x:f>
      </x:c>
      <x:c r="J172" s="174" t="str">
        <x:f>IF(A172="","",IF(OR(P172&lt;&gt;"",COUNTIFS(Lotes!$B$5:$B$204,A172,Lotes!$U$5:$U$204,1)&gt;0,Listas!$B$13&lt;&gt;"OK"),"n.a.",SUMIFS(Lotes!$L$5:$L$204,Lotes!$B$5:$B$204,A172)))</x:f>
      </x:c>
      <x:c r="K172" s="173" t="str">
        <x:f>IF(A172="","",IF(OR(P172&lt;&gt;"",COUNTIFS(Lotes!$B$5:$B$204,A172,Lotes!$U$5:$U$204,1)&gt;0,Listas!$B$13&lt;&gt;"OK"),"n.a.",COUNTIFS(Lotes!$B$5:$B$204,A172,Lotes!$J$5:$J$204,"&gt;0")))</x:f>
      </x:c>
      <x:c r="L172" s="173" t="str">
        <x:f>IF(A172="","",IF(OR(P172&lt;&gt;"",COUNTIFS(Lotes!$B$5:$B$204,A172,Lotes!$U$5:$U$204,1)&gt;0,Listas!$B$13&lt;&gt;"OK"),"n.a.",COUNTIFS(Lotes!$B$5:$B$204,A172,Lotes!$J$5:$J$204,"&gt;0",Lotes!$N$5:$N$204,"VENCIDO")))</x:f>
      </x:c>
      <x:c r="M172" s="173" t="str">
        <x:f>IF(A172="","",IF(OR(P172&lt;&gt;"",COUNTIFS(Lotes!$B$5:$B$204,A172,Lotes!$U$5:$U$204,1)&gt;0,Listas!$B$13&lt;&gt;"OK"),"n.a.",COUNTIFS(Lotes!$B$5:$B$204,A172,Lotes!$J$5:$J$204,"&gt;0",Lotes!$N$5:$N$204,"CRÍTICO")+COUNTIFS(Lotes!$B$5:$B$204,A172,Lotes!$J$5:$J$204,"&gt;0",Lotes!$N$5:$N$204,"VENCE NA JANELA")))</x:f>
      </x:c>
      <x:c r="N172" s="173" t="str">
        <x:f>IF(A172="","",IF(OR(P172&lt;&gt;"",COUNTIFS(Lotes!$B$5:$B$204,A172,Lotes!$U$5:$U$204,1)&gt;0,Listas!$B$13&lt;&gt;"OK"),"REVISAR DADOS",IF(H172="Inativo","INATIVO",IF(Q172&lt;=F172,"REPOR","OK"))))</x:f>
      </x:c>
      <x:c r="O172" s="27"/>
      <x:c r="P172" s="163" t="str">
        <x:f>IF(COUNTA(A172:H172,O172)=0,"",IF(OR(A172="",COUNTIFS($A$5:$A$204,A172)&lt;&gt;1),"SKU ausente ou duplicado",IF(OR(B172="",D172=""),"Produto ou unidade ausente",IF(OR(NOT(ISNUMBER(F172)),F172&lt;0,NOT(ISNUMBER(G172)),G172&lt;0),"Mínimo ou custo inválido",IF(AND(H172&lt;&gt;"Ativo",H172&lt;&gt;"Inativo"),"Status de produto inválido","")))))</x:f>
      </x:c>
      <x:c r="Q172" s="163" t="str">
        <x:f>IF(A172="","",IF(OR(P172&lt;&gt;"",COUNTIFS(Lotes!$B$5:$B$204,A172,Lotes!$U$5:$U$204,1)&gt;0,Listas!$B$13&lt;&gt;"OK"),"n.a.",SUMIFS(Lotes!$V$5:$V$204,Lotes!$B$5:$B$204,A172)))</x:f>
      </x:c>
      <x:c r="R172" s="163" t="n">
        <x:f>IF(P172="",0,1)</x:f>
        <x:v>0</x:v>
      </x:c>
      <x:c r="S172" s="163" t="n">
        <x:f>IF(COUNTA(A172:H172,O172)=0,0,IF(OR(Listas!$B$19="Todos",A172=Listas!$B$19,A172=""),1,0))</x:f>
        <x:v>0</x:v>
      </x:c>
      <x:c r="T172" s="163" t="n">
        <x:f>IF(S172=1,COUNTIFS($S$5:S172,1),0)</x:f>
        <x:v>0</x:v>
      </x:c>
      <x:c r="U172" s="1"/>
      <x:c r="V172" s="1"/>
      <x:c r="W172" s="1"/>
    </x:row>
    <x:row r="173" ht="32" customHeight="1">
      <x:c r="A173" s="170"/>
      <x:c r="B173" s="170"/>
      <x:c r="C173" s="170"/>
      <x:c r="D173" s="170"/>
      <x:c r="E173" s="170"/>
      <x:c r="F173" s="171"/>
      <x:c r="G173" s="172"/>
      <x:c r="H173" s="170"/>
      <x:c r="I173" s="173" t="str">
        <x:f>IF(A173="","",IF(OR(P173&lt;&gt;"",COUNTIFS(Lotes!$B$5:$B$204,A173,Lotes!$U$5:$U$204,1)&gt;0,Listas!$B$13&lt;&gt;"OK"),"n.a.",SUMIFS(Lotes!$J$5:$J$204,Lotes!$B$5:$B$204,A173)))</x:f>
      </x:c>
      <x:c r="J173" s="174" t="str">
        <x:f>IF(A173="","",IF(OR(P173&lt;&gt;"",COUNTIFS(Lotes!$B$5:$B$204,A173,Lotes!$U$5:$U$204,1)&gt;0,Listas!$B$13&lt;&gt;"OK"),"n.a.",SUMIFS(Lotes!$L$5:$L$204,Lotes!$B$5:$B$204,A173)))</x:f>
      </x:c>
      <x:c r="K173" s="173" t="str">
        <x:f>IF(A173="","",IF(OR(P173&lt;&gt;"",COUNTIFS(Lotes!$B$5:$B$204,A173,Lotes!$U$5:$U$204,1)&gt;0,Listas!$B$13&lt;&gt;"OK"),"n.a.",COUNTIFS(Lotes!$B$5:$B$204,A173,Lotes!$J$5:$J$204,"&gt;0")))</x:f>
      </x:c>
      <x:c r="L173" s="173" t="str">
        <x:f>IF(A173="","",IF(OR(P173&lt;&gt;"",COUNTIFS(Lotes!$B$5:$B$204,A173,Lotes!$U$5:$U$204,1)&gt;0,Listas!$B$13&lt;&gt;"OK"),"n.a.",COUNTIFS(Lotes!$B$5:$B$204,A173,Lotes!$J$5:$J$204,"&gt;0",Lotes!$N$5:$N$204,"VENCIDO")))</x:f>
      </x:c>
      <x:c r="M173" s="173" t="str">
        <x:f>IF(A173="","",IF(OR(P173&lt;&gt;"",COUNTIFS(Lotes!$B$5:$B$204,A173,Lotes!$U$5:$U$204,1)&gt;0,Listas!$B$13&lt;&gt;"OK"),"n.a.",COUNTIFS(Lotes!$B$5:$B$204,A173,Lotes!$J$5:$J$204,"&gt;0",Lotes!$N$5:$N$204,"CRÍTICO")+COUNTIFS(Lotes!$B$5:$B$204,A173,Lotes!$J$5:$J$204,"&gt;0",Lotes!$N$5:$N$204,"VENCE NA JANELA")))</x:f>
      </x:c>
      <x:c r="N173" s="173" t="str">
        <x:f>IF(A173="","",IF(OR(P173&lt;&gt;"",COUNTIFS(Lotes!$B$5:$B$204,A173,Lotes!$U$5:$U$204,1)&gt;0,Listas!$B$13&lt;&gt;"OK"),"REVISAR DADOS",IF(H173="Inativo","INATIVO",IF(Q173&lt;=F173,"REPOR","OK"))))</x:f>
      </x:c>
      <x:c r="O173" s="27"/>
      <x:c r="P173" s="163" t="str">
        <x:f>IF(COUNTA(A173:H173,O173)=0,"",IF(OR(A173="",COUNTIFS($A$5:$A$204,A173)&lt;&gt;1),"SKU ausente ou duplicado",IF(OR(B173="",D173=""),"Produto ou unidade ausente",IF(OR(NOT(ISNUMBER(F173)),F173&lt;0,NOT(ISNUMBER(G173)),G173&lt;0),"Mínimo ou custo inválido",IF(AND(H173&lt;&gt;"Ativo",H173&lt;&gt;"Inativo"),"Status de produto inválido","")))))</x:f>
      </x:c>
      <x:c r="Q173" s="163" t="str">
        <x:f>IF(A173="","",IF(OR(P173&lt;&gt;"",COUNTIFS(Lotes!$B$5:$B$204,A173,Lotes!$U$5:$U$204,1)&gt;0,Listas!$B$13&lt;&gt;"OK"),"n.a.",SUMIFS(Lotes!$V$5:$V$204,Lotes!$B$5:$B$204,A173)))</x:f>
      </x:c>
      <x:c r="R173" s="163" t="n">
        <x:f>IF(P173="",0,1)</x:f>
        <x:v>0</x:v>
      </x:c>
      <x:c r="S173" s="163" t="n">
        <x:f>IF(COUNTA(A173:H173,O173)=0,0,IF(OR(Listas!$B$19="Todos",A173=Listas!$B$19,A173=""),1,0))</x:f>
        <x:v>0</x:v>
      </x:c>
      <x:c r="T173" s="163" t="n">
        <x:f>IF(S173=1,COUNTIFS($S$5:S173,1),0)</x:f>
        <x:v>0</x:v>
      </x:c>
      <x:c r="U173" s="1"/>
      <x:c r="V173" s="1"/>
      <x:c r="W173" s="1"/>
    </x:row>
    <x:row r="174" ht="32" customHeight="1">
      <x:c r="A174" s="170"/>
      <x:c r="B174" s="170"/>
      <x:c r="C174" s="170"/>
      <x:c r="D174" s="170"/>
      <x:c r="E174" s="170"/>
      <x:c r="F174" s="171"/>
      <x:c r="G174" s="172"/>
      <x:c r="H174" s="170"/>
      <x:c r="I174" s="173" t="str">
        <x:f>IF(A174="","",IF(OR(P174&lt;&gt;"",COUNTIFS(Lotes!$B$5:$B$204,A174,Lotes!$U$5:$U$204,1)&gt;0,Listas!$B$13&lt;&gt;"OK"),"n.a.",SUMIFS(Lotes!$J$5:$J$204,Lotes!$B$5:$B$204,A174)))</x:f>
      </x:c>
      <x:c r="J174" s="174" t="str">
        <x:f>IF(A174="","",IF(OR(P174&lt;&gt;"",COUNTIFS(Lotes!$B$5:$B$204,A174,Lotes!$U$5:$U$204,1)&gt;0,Listas!$B$13&lt;&gt;"OK"),"n.a.",SUMIFS(Lotes!$L$5:$L$204,Lotes!$B$5:$B$204,A174)))</x:f>
      </x:c>
      <x:c r="K174" s="173" t="str">
        <x:f>IF(A174="","",IF(OR(P174&lt;&gt;"",COUNTIFS(Lotes!$B$5:$B$204,A174,Lotes!$U$5:$U$204,1)&gt;0,Listas!$B$13&lt;&gt;"OK"),"n.a.",COUNTIFS(Lotes!$B$5:$B$204,A174,Lotes!$J$5:$J$204,"&gt;0")))</x:f>
      </x:c>
      <x:c r="L174" s="173" t="str">
        <x:f>IF(A174="","",IF(OR(P174&lt;&gt;"",COUNTIFS(Lotes!$B$5:$B$204,A174,Lotes!$U$5:$U$204,1)&gt;0,Listas!$B$13&lt;&gt;"OK"),"n.a.",COUNTIFS(Lotes!$B$5:$B$204,A174,Lotes!$J$5:$J$204,"&gt;0",Lotes!$N$5:$N$204,"VENCIDO")))</x:f>
      </x:c>
      <x:c r="M174" s="173" t="str">
        <x:f>IF(A174="","",IF(OR(P174&lt;&gt;"",COUNTIFS(Lotes!$B$5:$B$204,A174,Lotes!$U$5:$U$204,1)&gt;0,Listas!$B$13&lt;&gt;"OK"),"n.a.",COUNTIFS(Lotes!$B$5:$B$204,A174,Lotes!$J$5:$J$204,"&gt;0",Lotes!$N$5:$N$204,"CRÍTICO")+COUNTIFS(Lotes!$B$5:$B$204,A174,Lotes!$J$5:$J$204,"&gt;0",Lotes!$N$5:$N$204,"VENCE NA JANELA")))</x:f>
      </x:c>
      <x:c r="N174" s="173" t="str">
        <x:f>IF(A174="","",IF(OR(P174&lt;&gt;"",COUNTIFS(Lotes!$B$5:$B$204,A174,Lotes!$U$5:$U$204,1)&gt;0,Listas!$B$13&lt;&gt;"OK"),"REVISAR DADOS",IF(H174="Inativo","INATIVO",IF(Q174&lt;=F174,"REPOR","OK"))))</x:f>
      </x:c>
      <x:c r="O174" s="27"/>
      <x:c r="P174" s="163" t="str">
        <x:f>IF(COUNTA(A174:H174,O174)=0,"",IF(OR(A174="",COUNTIFS($A$5:$A$204,A174)&lt;&gt;1),"SKU ausente ou duplicado",IF(OR(B174="",D174=""),"Produto ou unidade ausente",IF(OR(NOT(ISNUMBER(F174)),F174&lt;0,NOT(ISNUMBER(G174)),G174&lt;0),"Mínimo ou custo inválido",IF(AND(H174&lt;&gt;"Ativo",H174&lt;&gt;"Inativo"),"Status de produto inválido","")))))</x:f>
      </x:c>
      <x:c r="Q174" s="163" t="str">
        <x:f>IF(A174="","",IF(OR(P174&lt;&gt;"",COUNTIFS(Lotes!$B$5:$B$204,A174,Lotes!$U$5:$U$204,1)&gt;0,Listas!$B$13&lt;&gt;"OK"),"n.a.",SUMIFS(Lotes!$V$5:$V$204,Lotes!$B$5:$B$204,A174)))</x:f>
      </x:c>
      <x:c r="R174" s="163" t="n">
        <x:f>IF(P174="",0,1)</x:f>
        <x:v>0</x:v>
      </x:c>
      <x:c r="S174" s="163" t="n">
        <x:f>IF(COUNTA(A174:H174,O174)=0,0,IF(OR(Listas!$B$19="Todos",A174=Listas!$B$19,A174=""),1,0))</x:f>
        <x:v>0</x:v>
      </x:c>
      <x:c r="T174" s="163" t="n">
        <x:f>IF(S174=1,COUNTIFS($S$5:S174,1),0)</x:f>
        <x:v>0</x:v>
      </x:c>
      <x:c r="U174" s="1"/>
      <x:c r="V174" s="1"/>
      <x:c r="W174" s="1"/>
    </x:row>
    <x:row r="175" ht="32" customHeight="1">
      <x:c r="A175" s="170"/>
      <x:c r="B175" s="170"/>
      <x:c r="C175" s="170"/>
      <x:c r="D175" s="170"/>
      <x:c r="E175" s="170"/>
      <x:c r="F175" s="171"/>
      <x:c r="G175" s="172"/>
      <x:c r="H175" s="170"/>
      <x:c r="I175" s="173" t="str">
        <x:f>IF(A175="","",IF(OR(P175&lt;&gt;"",COUNTIFS(Lotes!$B$5:$B$204,A175,Lotes!$U$5:$U$204,1)&gt;0,Listas!$B$13&lt;&gt;"OK"),"n.a.",SUMIFS(Lotes!$J$5:$J$204,Lotes!$B$5:$B$204,A175)))</x:f>
      </x:c>
      <x:c r="J175" s="174" t="str">
        <x:f>IF(A175="","",IF(OR(P175&lt;&gt;"",COUNTIFS(Lotes!$B$5:$B$204,A175,Lotes!$U$5:$U$204,1)&gt;0,Listas!$B$13&lt;&gt;"OK"),"n.a.",SUMIFS(Lotes!$L$5:$L$204,Lotes!$B$5:$B$204,A175)))</x:f>
      </x:c>
      <x:c r="K175" s="173" t="str">
        <x:f>IF(A175="","",IF(OR(P175&lt;&gt;"",COUNTIFS(Lotes!$B$5:$B$204,A175,Lotes!$U$5:$U$204,1)&gt;0,Listas!$B$13&lt;&gt;"OK"),"n.a.",COUNTIFS(Lotes!$B$5:$B$204,A175,Lotes!$J$5:$J$204,"&gt;0")))</x:f>
      </x:c>
      <x:c r="L175" s="173" t="str">
        <x:f>IF(A175="","",IF(OR(P175&lt;&gt;"",COUNTIFS(Lotes!$B$5:$B$204,A175,Lotes!$U$5:$U$204,1)&gt;0,Listas!$B$13&lt;&gt;"OK"),"n.a.",COUNTIFS(Lotes!$B$5:$B$204,A175,Lotes!$J$5:$J$204,"&gt;0",Lotes!$N$5:$N$204,"VENCIDO")))</x:f>
      </x:c>
      <x:c r="M175" s="173" t="str">
        <x:f>IF(A175="","",IF(OR(P175&lt;&gt;"",COUNTIFS(Lotes!$B$5:$B$204,A175,Lotes!$U$5:$U$204,1)&gt;0,Listas!$B$13&lt;&gt;"OK"),"n.a.",COUNTIFS(Lotes!$B$5:$B$204,A175,Lotes!$J$5:$J$204,"&gt;0",Lotes!$N$5:$N$204,"CRÍTICO")+COUNTIFS(Lotes!$B$5:$B$204,A175,Lotes!$J$5:$J$204,"&gt;0",Lotes!$N$5:$N$204,"VENCE NA JANELA")))</x:f>
      </x:c>
      <x:c r="N175" s="173" t="str">
        <x:f>IF(A175="","",IF(OR(P175&lt;&gt;"",COUNTIFS(Lotes!$B$5:$B$204,A175,Lotes!$U$5:$U$204,1)&gt;0,Listas!$B$13&lt;&gt;"OK"),"REVISAR DADOS",IF(H175="Inativo","INATIVO",IF(Q175&lt;=F175,"REPOR","OK"))))</x:f>
      </x:c>
      <x:c r="O175" s="27"/>
      <x:c r="P175" s="163" t="str">
        <x:f>IF(COUNTA(A175:H175,O175)=0,"",IF(OR(A175="",COUNTIFS($A$5:$A$204,A175)&lt;&gt;1),"SKU ausente ou duplicado",IF(OR(B175="",D175=""),"Produto ou unidade ausente",IF(OR(NOT(ISNUMBER(F175)),F175&lt;0,NOT(ISNUMBER(G175)),G175&lt;0),"Mínimo ou custo inválido",IF(AND(H175&lt;&gt;"Ativo",H175&lt;&gt;"Inativo"),"Status de produto inválido","")))))</x:f>
      </x:c>
      <x:c r="Q175" s="163" t="str">
        <x:f>IF(A175="","",IF(OR(P175&lt;&gt;"",COUNTIFS(Lotes!$B$5:$B$204,A175,Lotes!$U$5:$U$204,1)&gt;0,Listas!$B$13&lt;&gt;"OK"),"n.a.",SUMIFS(Lotes!$V$5:$V$204,Lotes!$B$5:$B$204,A175)))</x:f>
      </x:c>
      <x:c r="R175" s="163" t="n">
        <x:f>IF(P175="",0,1)</x:f>
        <x:v>0</x:v>
      </x:c>
      <x:c r="S175" s="163" t="n">
        <x:f>IF(COUNTA(A175:H175,O175)=0,0,IF(OR(Listas!$B$19="Todos",A175=Listas!$B$19,A175=""),1,0))</x:f>
        <x:v>0</x:v>
      </x:c>
      <x:c r="T175" s="163" t="n">
        <x:f>IF(S175=1,COUNTIFS($S$5:S175,1),0)</x:f>
        <x:v>0</x:v>
      </x:c>
      <x:c r="U175" s="1"/>
      <x:c r="V175" s="1"/>
      <x:c r="W175" s="1"/>
    </x:row>
    <x:row r="176" ht="32" customHeight="1">
      <x:c r="A176" s="170"/>
      <x:c r="B176" s="170"/>
      <x:c r="C176" s="170"/>
      <x:c r="D176" s="170"/>
      <x:c r="E176" s="170"/>
      <x:c r="F176" s="171"/>
      <x:c r="G176" s="172"/>
      <x:c r="H176" s="170"/>
      <x:c r="I176" s="173" t="str">
        <x:f>IF(A176="","",IF(OR(P176&lt;&gt;"",COUNTIFS(Lotes!$B$5:$B$204,A176,Lotes!$U$5:$U$204,1)&gt;0,Listas!$B$13&lt;&gt;"OK"),"n.a.",SUMIFS(Lotes!$J$5:$J$204,Lotes!$B$5:$B$204,A176)))</x:f>
      </x:c>
      <x:c r="J176" s="174" t="str">
        <x:f>IF(A176="","",IF(OR(P176&lt;&gt;"",COUNTIFS(Lotes!$B$5:$B$204,A176,Lotes!$U$5:$U$204,1)&gt;0,Listas!$B$13&lt;&gt;"OK"),"n.a.",SUMIFS(Lotes!$L$5:$L$204,Lotes!$B$5:$B$204,A176)))</x:f>
      </x:c>
      <x:c r="K176" s="173" t="str">
        <x:f>IF(A176="","",IF(OR(P176&lt;&gt;"",COUNTIFS(Lotes!$B$5:$B$204,A176,Lotes!$U$5:$U$204,1)&gt;0,Listas!$B$13&lt;&gt;"OK"),"n.a.",COUNTIFS(Lotes!$B$5:$B$204,A176,Lotes!$J$5:$J$204,"&gt;0")))</x:f>
      </x:c>
      <x:c r="L176" s="173" t="str">
        <x:f>IF(A176="","",IF(OR(P176&lt;&gt;"",COUNTIFS(Lotes!$B$5:$B$204,A176,Lotes!$U$5:$U$204,1)&gt;0,Listas!$B$13&lt;&gt;"OK"),"n.a.",COUNTIFS(Lotes!$B$5:$B$204,A176,Lotes!$J$5:$J$204,"&gt;0",Lotes!$N$5:$N$204,"VENCIDO")))</x:f>
      </x:c>
      <x:c r="M176" s="173" t="str">
        <x:f>IF(A176="","",IF(OR(P176&lt;&gt;"",COUNTIFS(Lotes!$B$5:$B$204,A176,Lotes!$U$5:$U$204,1)&gt;0,Listas!$B$13&lt;&gt;"OK"),"n.a.",COUNTIFS(Lotes!$B$5:$B$204,A176,Lotes!$J$5:$J$204,"&gt;0",Lotes!$N$5:$N$204,"CRÍTICO")+COUNTIFS(Lotes!$B$5:$B$204,A176,Lotes!$J$5:$J$204,"&gt;0",Lotes!$N$5:$N$204,"VENCE NA JANELA")))</x:f>
      </x:c>
      <x:c r="N176" s="173" t="str">
        <x:f>IF(A176="","",IF(OR(P176&lt;&gt;"",COUNTIFS(Lotes!$B$5:$B$204,A176,Lotes!$U$5:$U$204,1)&gt;0,Listas!$B$13&lt;&gt;"OK"),"REVISAR DADOS",IF(H176="Inativo","INATIVO",IF(Q176&lt;=F176,"REPOR","OK"))))</x:f>
      </x:c>
      <x:c r="O176" s="27"/>
      <x:c r="P176" s="163" t="str">
        <x:f>IF(COUNTA(A176:H176,O176)=0,"",IF(OR(A176="",COUNTIFS($A$5:$A$204,A176)&lt;&gt;1),"SKU ausente ou duplicado",IF(OR(B176="",D176=""),"Produto ou unidade ausente",IF(OR(NOT(ISNUMBER(F176)),F176&lt;0,NOT(ISNUMBER(G176)),G176&lt;0),"Mínimo ou custo inválido",IF(AND(H176&lt;&gt;"Ativo",H176&lt;&gt;"Inativo"),"Status de produto inválido","")))))</x:f>
      </x:c>
      <x:c r="Q176" s="163" t="str">
        <x:f>IF(A176="","",IF(OR(P176&lt;&gt;"",COUNTIFS(Lotes!$B$5:$B$204,A176,Lotes!$U$5:$U$204,1)&gt;0,Listas!$B$13&lt;&gt;"OK"),"n.a.",SUMIFS(Lotes!$V$5:$V$204,Lotes!$B$5:$B$204,A176)))</x:f>
      </x:c>
      <x:c r="R176" s="163" t="n">
        <x:f>IF(P176="",0,1)</x:f>
        <x:v>0</x:v>
      </x:c>
      <x:c r="S176" s="163" t="n">
        <x:f>IF(COUNTA(A176:H176,O176)=0,0,IF(OR(Listas!$B$19="Todos",A176=Listas!$B$19,A176=""),1,0))</x:f>
        <x:v>0</x:v>
      </x:c>
      <x:c r="T176" s="163" t="n">
        <x:f>IF(S176=1,COUNTIFS($S$5:S176,1),0)</x:f>
        <x:v>0</x:v>
      </x:c>
      <x:c r="U176" s="1"/>
      <x:c r="V176" s="1"/>
      <x:c r="W176" s="1"/>
    </x:row>
    <x:row r="177" ht="32" customHeight="1">
      <x:c r="A177" s="170"/>
      <x:c r="B177" s="170"/>
      <x:c r="C177" s="170"/>
      <x:c r="D177" s="170"/>
      <x:c r="E177" s="170"/>
      <x:c r="F177" s="171"/>
      <x:c r="G177" s="172"/>
      <x:c r="H177" s="170"/>
      <x:c r="I177" s="173" t="str">
        <x:f>IF(A177="","",IF(OR(P177&lt;&gt;"",COUNTIFS(Lotes!$B$5:$B$204,A177,Lotes!$U$5:$U$204,1)&gt;0,Listas!$B$13&lt;&gt;"OK"),"n.a.",SUMIFS(Lotes!$J$5:$J$204,Lotes!$B$5:$B$204,A177)))</x:f>
      </x:c>
      <x:c r="J177" s="174" t="str">
        <x:f>IF(A177="","",IF(OR(P177&lt;&gt;"",COUNTIFS(Lotes!$B$5:$B$204,A177,Lotes!$U$5:$U$204,1)&gt;0,Listas!$B$13&lt;&gt;"OK"),"n.a.",SUMIFS(Lotes!$L$5:$L$204,Lotes!$B$5:$B$204,A177)))</x:f>
      </x:c>
      <x:c r="K177" s="173" t="str">
        <x:f>IF(A177="","",IF(OR(P177&lt;&gt;"",COUNTIFS(Lotes!$B$5:$B$204,A177,Lotes!$U$5:$U$204,1)&gt;0,Listas!$B$13&lt;&gt;"OK"),"n.a.",COUNTIFS(Lotes!$B$5:$B$204,A177,Lotes!$J$5:$J$204,"&gt;0")))</x:f>
      </x:c>
      <x:c r="L177" s="173" t="str">
        <x:f>IF(A177="","",IF(OR(P177&lt;&gt;"",COUNTIFS(Lotes!$B$5:$B$204,A177,Lotes!$U$5:$U$204,1)&gt;0,Listas!$B$13&lt;&gt;"OK"),"n.a.",COUNTIFS(Lotes!$B$5:$B$204,A177,Lotes!$J$5:$J$204,"&gt;0",Lotes!$N$5:$N$204,"VENCIDO")))</x:f>
      </x:c>
      <x:c r="M177" s="173" t="str">
        <x:f>IF(A177="","",IF(OR(P177&lt;&gt;"",COUNTIFS(Lotes!$B$5:$B$204,A177,Lotes!$U$5:$U$204,1)&gt;0,Listas!$B$13&lt;&gt;"OK"),"n.a.",COUNTIFS(Lotes!$B$5:$B$204,A177,Lotes!$J$5:$J$204,"&gt;0",Lotes!$N$5:$N$204,"CRÍTICO")+COUNTIFS(Lotes!$B$5:$B$204,A177,Lotes!$J$5:$J$204,"&gt;0",Lotes!$N$5:$N$204,"VENCE NA JANELA")))</x:f>
      </x:c>
      <x:c r="N177" s="173" t="str">
        <x:f>IF(A177="","",IF(OR(P177&lt;&gt;"",COUNTIFS(Lotes!$B$5:$B$204,A177,Lotes!$U$5:$U$204,1)&gt;0,Listas!$B$13&lt;&gt;"OK"),"REVISAR DADOS",IF(H177="Inativo","INATIVO",IF(Q177&lt;=F177,"REPOR","OK"))))</x:f>
      </x:c>
      <x:c r="O177" s="27"/>
      <x:c r="P177" s="163" t="str">
        <x:f>IF(COUNTA(A177:H177,O177)=0,"",IF(OR(A177="",COUNTIFS($A$5:$A$204,A177)&lt;&gt;1),"SKU ausente ou duplicado",IF(OR(B177="",D177=""),"Produto ou unidade ausente",IF(OR(NOT(ISNUMBER(F177)),F177&lt;0,NOT(ISNUMBER(G177)),G177&lt;0),"Mínimo ou custo inválido",IF(AND(H177&lt;&gt;"Ativo",H177&lt;&gt;"Inativo"),"Status de produto inválido","")))))</x:f>
      </x:c>
      <x:c r="Q177" s="163" t="str">
        <x:f>IF(A177="","",IF(OR(P177&lt;&gt;"",COUNTIFS(Lotes!$B$5:$B$204,A177,Lotes!$U$5:$U$204,1)&gt;0,Listas!$B$13&lt;&gt;"OK"),"n.a.",SUMIFS(Lotes!$V$5:$V$204,Lotes!$B$5:$B$204,A177)))</x:f>
      </x:c>
      <x:c r="R177" s="163" t="n">
        <x:f>IF(P177="",0,1)</x:f>
        <x:v>0</x:v>
      </x:c>
      <x:c r="S177" s="163" t="n">
        <x:f>IF(COUNTA(A177:H177,O177)=0,0,IF(OR(Listas!$B$19="Todos",A177=Listas!$B$19,A177=""),1,0))</x:f>
        <x:v>0</x:v>
      </x:c>
      <x:c r="T177" s="163" t="n">
        <x:f>IF(S177=1,COUNTIFS($S$5:S177,1),0)</x:f>
        <x:v>0</x:v>
      </x:c>
      <x:c r="U177" s="1"/>
      <x:c r="V177" s="1"/>
      <x:c r="W177" s="1"/>
    </x:row>
    <x:row r="178" ht="32" customHeight="1">
      <x:c r="A178" s="170"/>
      <x:c r="B178" s="170"/>
      <x:c r="C178" s="170"/>
      <x:c r="D178" s="170"/>
      <x:c r="E178" s="170"/>
      <x:c r="F178" s="171"/>
      <x:c r="G178" s="172"/>
      <x:c r="H178" s="170"/>
      <x:c r="I178" s="173" t="str">
        <x:f>IF(A178="","",IF(OR(P178&lt;&gt;"",COUNTIFS(Lotes!$B$5:$B$204,A178,Lotes!$U$5:$U$204,1)&gt;0,Listas!$B$13&lt;&gt;"OK"),"n.a.",SUMIFS(Lotes!$J$5:$J$204,Lotes!$B$5:$B$204,A178)))</x:f>
      </x:c>
      <x:c r="J178" s="174" t="str">
        <x:f>IF(A178="","",IF(OR(P178&lt;&gt;"",COUNTIFS(Lotes!$B$5:$B$204,A178,Lotes!$U$5:$U$204,1)&gt;0,Listas!$B$13&lt;&gt;"OK"),"n.a.",SUMIFS(Lotes!$L$5:$L$204,Lotes!$B$5:$B$204,A178)))</x:f>
      </x:c>
      <x:c r="K178" s="173" t="str">
        <x:f>IF(A178="","",IF(OR(P178&lt;&gt;"",COUNTIFS(Lotes!$B$5:$B$204,A178,Lotes!$U$5:$U$204,1)&gt;0,Listas!$B$13&lt;&gt;"OK"),"n.a.",COUNTIFS(Lotes!$B$5:$B$204,A178,Lotes!$J$5:$J$204,"&gt;0")))</x:f>
      </x:c>
      <x:c r="L178" s="173" t="str">
        <x:f>IF(A178="","",IF(OR(P178&lt;&gt;"",COUNTIFS(Lotes!$B$5:$B$204,A178,Lotes!$U$5:$U$204,1)&gt;0,Listas!$B$13&lt;&gt;"OK"),"n.a.",COUNTIFS(Lotes!$B$5:$B$204,A178,Lotes!$J$5:$J$204,"&gt;0",Lotes!$N$5:$N$204,"VENCIDO")))</x:f>
      </x:c>
      <x:c r="M178" s="173" t="str">
        <x:f>IF(A178="","",IF(OR(P178&lt;&gt;"",COUNTIFS(Lotes!$B$5:$B$204,A178,Lotes!$U$5:$U$204,1)&gt;0,Listas!$B$13&lt;&gt;"OK"),"n.a.",COUNTIFS(Lotes!$B$5:$B$204,A178,Lotes!$J$5:$J$204,"&gt;0",Lotes!$N$5:$N$204,"CRÍTICO")+COUNTIFS(Lotes!$B$5:$B$204,A178,Lotes!$J$5:$J$204,"&gt;0",Lotes!$N$5:$N$204,"VENCE NA JANELA")))</x:f>
      </x:c>
      <x:c r="N178" s="173" t="str">
        <x:f>IF(A178="","",IF(OR(P178&lt;&gt;"",COUNTIFS(Lotes!$B$5:$B$204,A178,Lotes!$U$5:$U$204,1)&gt;0,Listas!$B$13&lt;&gt;"OK"),"REVISAR DADOS",IF(H178="Inativo","INATIVO",IF(Q178&lt;=F178,"REPOR","OK"))))</x:f>
      </x:c>
      <x:c r="O178" s="27"/>
      <x:c r="P178" s="163" t="str">
        <x:f>IF(COUNTA(A178:H178,O178)=0,"",IF(OR(A178="",COUNTIFS($A$5:$A$204,A178)&lt;&gt;1),"SKU ausente ou duplicado",IF(OR(B178="",D178=""),"Produto ou unidade ausente",IF(OR(NOT(ISNUMBER(F178)),F178&lt;0,NOT(ISNUMBER(G178)),G178&lt;0),"Mínimo ou custo inválido",IF(AND(H178&lt;&gt;"Ativo",H178&lt;&gt;"Inativo"),"Status de produto inválido","")))))</x:f>
      </x:c>
      <x:c r="Q178" s="163" t="str">
        <x:f>IF(A178="","",IF(OR(P178&lt;&gt;"",COUNTIFS(Lotes!$B$5:$B$204,A178,Lotes!$U$5:$U$204,1)&gt;0,Listas!$B$13&lt;&gt;"OK"),"n.a.",SUMIFS(Lotes!$V$5:$V$204,Lotes!$B$5:$B$204,A178)))</x:f>
      </x:c>
      <x:c r="R178" s="163" t="n">
        <x:f>IF(P178="",0,1)</x:f>
        <x:v>0</x:v>
      </x:c>
      <x:c r="S178" s="163" t="n">
        <x:f>IF(COUNTA(A178:H178,O178)=0,0,IF(OR(Listas!$B$19="Todos",A178=Listas!$B$19,A178=""),1,0))</x:f>
        <x:v>0</x:v>
      </x:c>
      <x:c r="T178" s="163" t="n">
        <x:f>IF(S178=1,COUNTIFS($S$5:S178,1),0)</x:f>
        <x:v>0</x:v>
      </x:c>
      <x:c r="U178" s="1"/>
      <x:c r="V178" s="1"/>
      <x:c r="W178" s="1"/>
    </x:row>
    <x:row r="179" ht="32" customHeight="1">
      <x:c r="A179" s="170"/>
      <x:c r="B179" s="170"/>
      <x:c r="C179" s="170"/>
      <x:c r="D179" s="170"/>
      <x:c r="E179" s="170"/>
      <x:c r="F179" s="171"/>
      <x:c r="G179" s="172"/>
      <x:c r="H179" s="170"/>
      <x:c r="I179" s="173" t="str">
        <x:f>IF(A179="","",IF(OR(P179&lt;&gt;"",COUNTIFS(Lotes!$B$5:$B$204,A179,Lotes!$U$5:$U$204,1)&gt;0,Listas!$B$13&lt;&gt;"OK"),"n.a.",SUMIFS(Lotes!$J$5:$J$204,Lotes!$B$5:$B$204,A179)))</x:f>
      </x:c>
      <x:c r="J179" s="174" t="str">
        <x:f>IF(A179="","",IF(OR(P179&lt;&gt;"",COUNTIFS(Lotes!$B$5:$B$204,A179,Lotes!$U$5:$U$204,1)&gt;0,Listas!$B$13&lt;&gt;"OK"),"n.a.",SUMIFS(Lotes!$L$5:$L$204,Lotes!$B$5:$B$204,A179)))</x:f>
      </x:c>
      <x:c r="K179" s="173" t="str">
        <x:f>IF(A179="","",IF(OR(P179&lt;&gt;"",COUNTIFS(Lotes!$B$5:$B$204,A179,Lotes!$U$5:$U$204,1)&gt;0,Listas!$B$13&lt;&gt;"OK"),"n.a.",COUNTIFS(Lotes!$B$5:$B$204,A179,Lotes!$J$5:$J$204,"&gt;0")))</x:f>
      </x:c>
      <x:c r="L179" s="173" t="str">
        <x:f>IF(A179="","",IF(OR(P179&lt;&gt;"",COUNTIFS(Lotes!$B$5:$B$204,A179,Lotes!$U$5:$U$204,1)&gt;0,Listas!$B$13&lt;&gt;"OK"),"n.a.",COUNTIFS(Lotes!$B$5:$B$204,A179,Lotes!$J$5:$J$204,"&gt;0",Lotes!$N$5:$N$204,"VENCIDO")))</x:f>
      </x:c>
      <x:c r="M179" s="173" t="str">
        <x:f>IF(A179="","",IF(OR(P179&lt;&gt;"",COUNTIFS(Lotes!$B$5:$B$204,A179,Lotes!$U$5:$U$204,1)&gt;0,Listas!$B$13&lt;&gt;"OK"),"n.a.",COUNTIFS(Lotes!$B$5:$B$204,A179,Lotes!$J$5:$J$204,"&gt;0",Lotes!$N$5:$N$204,"CRÍTICO")+COUNTIFS(Lotes!$B$5:$B$204,A179,Lotes!$J$5:$J$204,"&gt;0",Lotes!$N$5:$N$204,"VENCE NA JANELA")))</x:f>
      </x:c>
      <x:c r="N179" s="173" t="str">
        <x:f>IF(A179="","",IF(OR(P179&lt;&gt;"",COUNTIFS(Lotes!$B$5:$B$204,A179,Lotes!$U$5:$U$204,1)&gt;0,Listas!$B$13&lt;&gt;"OK"),"REVISAR DADOS",IF(H179="Inativo","INATIVO",IF(Q179&lt;=F179,"REPOR","OK"))))</x:f>
      </x:c>
      <x:c r="O179" s="27"/>
      <x:c r="P179" s="163" t="str">
        <x:f>IF(COUNTA(A179:H179,O179)=0,"",IF(OR(A179="",COUNTIFS($A$5:$A$204,A179)&lt;&gt;1),"SKU ausente ou duplicado",IF(OR(B179="",D179=""),"Produto ou unidade ausente",IF(OR(NOT(ISNUMBER(F179)),F179&lt;0,NOT(ISNUMBER(G179)),G179&lt;0),"Mínimo ou custo inválido",IF(AND(H179&lt;&gt;"Ativo",H179&lt;&gt;"Inativo"),"Status de produto inválido","")))))</x:f>
      </x:c>
      <x:c r="Q179" s="163" t="str">
        <x:f>IF(A179="","",IF(OR(P179&lt;&gt;"",COUNTIFS(Lotes!$B$5:$B$204,A179,Lotes!$U$5:$U$204,1)&gt;0,Listas!$B$13&lt;&gt;"OK"),"n.a.",SUMIFS(Lotes!$V$5:$V$204,Lotes!$B$5:$B$204,A179)))</x:f>
      </x:c>
      <x:c r="R179" s="163" t="n">
        <x:f>IF(P179="",0,1)</x:f>
        <x:v>0</x:v>
      </x:c>
      <x:c r="S179" s="163" t="n">
        <x:f>IF(COUNTA(A179:H179,O179)=0,0,IF(OR(Listas!$B$19="Todos",A179=Listas!$B$19,A179=""),1,0))</x:f>
        <x:v>0</x:v>
      </x:c>
      <x:c r="T179" s="163" t="n">
        <x:f>IF(S179=1,COUNTIFS($S$5:S179,1),0)</x:f>
        <x:v>0</x:v>
      </x:c>
      <x:c r="U179" s="1"/>
      <x:c r="V179" s="1"/>
      <x:c r="W179" s="1"/>
    </x:row>
    <x:row r="180" ht="32" customHeight="1">
      <x:c r="A180" s="170"/>
      <x:c r="B180" s="170"/>
      <x:c r="C180" s="170"/>
      <x:c r="D180" s="170"/>
      <x:c r="E180" s="170"/>
      <x:c r="F180" s="171"/>
      <x:c r="G180" s="172"/>
      <x:c r="H180" s="170"/>
      <x:c r="I180" s="173" t="str">
        <x:f>IF(A180="","",IF(OR(P180&lt;&gt;"",COUNTIFS(Lotes!$B$5:$B$204,A180,Lotes!$U$5:$U$204,1)&gt;0,Listas!$B$13&lt;&gt;"OK"),"n.a.",SUMIFS(Lotes!$J$5:$J$204,Lotes!$B$5:$B$204,A180)))</x:f>
      </x:c>
      <x:c r="J180" s="174" t="str">
        <x:f>IF(A180="","",IF(OR(P180&lt;&gt;"",COUNTIFS(Lotes!$B$5:$B$204,A180,Lotes!$U$5:$U$204,1)&gt;0,Listas!$B$13&lt;&gt;"OK"),"n.a.",SUMIFS(Lotes!$L$5:$L$204,Lotes!$B$5:$B$204,A180)))</x:f>
      </x:c>
      <x:c r="K180" s="173" t="str">
        <x:f>IF(A180="","",IF(OR(P180&lt;&gt;"",COUNTIFS(Lotes!$B$5:$B$204,A180,Lotes!$U$5:$U$204,1)&gt;0,Listas!$B$13&lt;&gt;"OK"),"n.a.",COUNTIFS(Lotes!$B$5:$B$204,A180,Lotes!$J$5:$J$204,"&gt;0")))</x:f>
      </x:c>
      <x:c r="L180" s="173" t="str">
        <x:f>IF(A180="","",IF(OR(P180&lt;&gt;"",COUNTIFS(Lotes!$B$5:$B$204,A180,Lotes!$U$5:$U$204,1)&gt;0,Listas!$B$13&lt;&gt;"OK"),"n.a.",COUNTIFS(Lotes!$B$5:$B$204,A180,Lotes!$J$5:$J$204,"&gt;0",Lotes!$N$5:$N$204,"VENCIDO")))</x:f>
      </x:c>
      <x:c r="M180" s="173" t="str">
        <x:f>IF(A180="","",IF(OR(P180&lt;&gt;"",COUNTIFS(Lotes!$B$5:$B$204,A180,Lotes!$U$5:$U$204,1)&gt;0,Listas!$B$13&lt;&gt;"OK"),"n.a.",COUNTIFS(Lotes!$B$5:$B$204,A180,Lotes!$J$5:$J$204,"&gt;0",Lotes!$N$5:$N$204,"CRÍTICO")+COUNTIFS(Lotes!$B$5:$B$204,A180,Lotes!$J$5:$J$204,"&gt;0",Lotes!$N$5:$N$204,"VENCE NA JANELA")))</x:f>
      </x:c>
      <x:c r="N180" s="173" t="str">
        <x:f>IF(A180="","",IF(OR(P180&lt;&gt;"",COUNTIFS(Lotes!$B$5:$B$204,A180,Lotes!$U$5:$U$204,1)&gt;0,Listas!$B$13&lt;&gt;"OK"),"REVISAR DADOS",IF(H180="Inativo","INATIVO",IF(Q180&lt;=F180,"REPOR","OK"))))</x:f>
      </x:c>
      <x:c r="O180" s="27"/>
      <x:c r="P180" s="163" t="str">
        <x:f>IF(COUNTA(A180:H180,O180)=0,"",IF(OR(A180="",COUNTIFS($A$5:$A$204,A180)&lt;&gt;1),"SKU ausente ou duplicado",IF(OR(B180="",D180=""),"Produto ou unidade ausente",IF(OR(NOT(ISNUMBER(F180)),F180&lt;0,NOT(ISNUMBER(G180)),G180&lt;0),"Mínimo ou custo inválido",IF(AND(H180&lt;&gt;"Ativo",H180&lt;&gt;"Inativo"),"Status de produto inválido","")))))</x:f>
      </x:c>
      <x:c r="Q180" s="163" t="str">
        <x:f>IF(A180="","",IF(OR(P180&lt;&gt;"",COUNTIFS(Lotes!$B$5:$B$204,A180,Lotes!$U$5:$U$204,1)&gt;0,Listas!$B$13&lt;&gt;"OK"),"n.a.",SUMIFS(Lotes!$V$5:$V$204,Lotes!$B$5:$B$204,A180)))</x:f>
      </x:c>
      <x:c r="R180" s="163" t="n">
        <x:f>IF(P180="",0,1)</x:f>
        <x:v>0</x:v>
      </x:c>
      <x:c r="S180" s="163" t="n">
        <x:f>IF(COUNTA(A180:H180,O180)=0,0,IF(OR(Listas!$B$19="Todos",A180=Listas!$B$19,A180=""),1,0))</x:f>
        <x:v>0</x:v>
      </x:c>
      <x:c r="T180" s="163" t="n">
        <x:f>IF(S180=1,COUNTIFS($S$5:S180,1),0)</x:f>
        <x:v>0</x:v>
      </x:c>
      <x:c r="U180" s="1"/>
      <x:c r="V180" s="1"/>
      <x:c r="W180" s="1"/>
    </x:row>
    <x:row r="181" ht="32" customHeight="1">
      <x:c r="A181" s="170"/>
      <x:c r="B181" s="170"/>
      <x:c r="C181" s="170"/>
      <x:c r="D181" s="170"/>
      <x:c r="E181" s="170"/>
      <x:c r="F181" s="171"/>
      <x:c r="G181" s="172"/>
      <x:c r="H181" s="170"/>
      <x:c r="I181" s="173" t="str">
        <x:f>IF(A181="","",IF(OR(P181&lt;&gt;"",COUNTIFS(Lotes!$B$5:$B$204,A181,Lotes!$U$5:$U$204,1)&gt;0,Listas!$B$13&lt;&gt;"OK"),"n.a.",SUMIFS(Lotes!$J$5:$J$204,Lotes!$B$5:$B$204,A181)))</x:f>
      </x:c>
      <x:c r="J181" s="174" t="str">
        <x:f>IF(A181="","",IF(OR(P181&lt;&gt;"",COUNTIFS(Lotes!$B$5:$B$204,A181,Lotes!$U$5:$U$204,1)&gt;0,Listas!$B$13&lt;&gt;"OK"),"n.a.",SUMIFS(Lotes!$L$5:$L$204,Lotes!$B$5:$B$204,A181)))</x:f>
      </x:c>
      <x:c r="K181" s="173" t="str">
        <x:f>IF(A181="","",IF(OR(P181&lt;&gt;"",COUNTIFS(Lotes!$B$5:$B$204,A181,Lotes!$U$5:$U$204,1)&gt;0,Listas!$B$13&lt;&gt;"OK"),"n.a.",COUNTIFS(Lotes!$B$5:$B$204,A181,Lotes!$J$5:$J$204,"&gt;0")))</x:f>
      </x:c>
      <x:c r="L181" s="173" t="str">
        <x:f>IF(A181="","",IF(OR(P181&lt;&gt;"",COUNTIFS(Lotes!$B$5:$B$204,A181,Lotes!$U$5:$U$204,1)&gt;0,Listas!$B$13&lt;&gt;"OK"),"n.a.",COUNTIFS(Lotes!$B$5:$B$204,A181,Lotes!$J$5:$J$204,"&gt;0",Lotes!$N$5:$N$204,"VENCIDO")))</x:f>
      </x:c>
      <x:c r="M181" s="173" t="str">
        <x:f>IF(A181="","",IF(OR(P181&lt;&gt;"",COUNTIFS(Lotes!$B$5:$B$204,A181,Lotes!$U$5:$U$204,1)&gt;0,Listas!$B$13&lt;&gt;"OK"),"n.a.",COUNTIFS(Lotes!$B$5:$B$204,A181,Lotes!$J$5:$J$204,"&gt;0",Lotes!$N$5:$N$204,"CRÍTICO")+COUNTIFS(Lotes!$B$5:$B$204,A181,Lotes!$J$5:$J$204,"&gt;0",Lotes!$N$5:$N$204,"VENCE NA JANELA")))</x:f>
      </x:c>
      <x:c r="N181" s="173" t="str">
        <x:f>IF(A181="","",IF(OR(P181&lt;&gt;"",COUNTIFS(Lotes!$B$5:$B$204,A181,Lotes!$U$5:$U$204,1)&gt;0,Listas!$B$13&lt;&gt;"OK"),"REVISAR DADOS",IF(H181="Inativo","INATIVO",IF(Q181&lt;=F181,"REPOR","OK"))))</x:f>
      </x:c>
      <x:c r="O181" s="27"/>
      <x:c r="P181" s="163" t="str">
        <x:f>IF(COUNTA(A181:H181,O181)=0,"",IF(OR(A181="",COUNTIFS($A$5:$A$204,A181)&lt;&gt;1),"SKU ausente ou duplicado",IF(OR(B181="",D181=""),"Produto ou unidade ausente",IF(OR(NOT(ISNUMBER(F181)),F181&lt;0,NOT(ISNUMBER(G181)),G181&lt;0),"Mínimo ou custo inválido",IF(AND(H181&lt;&gt;"Ativo",H181&lt;&gt;"Inativo"),"Status de produto inválido","")))))</x:f>
      </x:c>
      <x:c r="Q181" s="163" t="str">
        <x:f>IF(A181="","",IF(OR(P181&lt;&gt;"",COUNTIFS(Lotes!$B$5:$B$204,A181,Lotes!$U$5:$U$204,1)&gt;0,Listas!$B$13&lt;&gt;"OK"),"n.a.",SUMIFS(Lotes!$V$5:$V$204,Lotes!$B$5:$B$204,A181)))</x:f>
      </x:c>
      <x:c r="R181" s="163" t="n">
        <x:f>IF(P181="",0,1)</x:f>
        <x:v>0</x:v>
      </x:c>
      <x:c r="S181" s="163" t="n">
        <x:f>IF(COUNTA(A181:H181,O181)=0,0,IF(OR(Listas!$B$19="Todos",A181=Listas!$B$19,A181=""),1,0))</x:f>
        <x:v>0</x:v>
      </x:c>
      <x:c r="T181" s="163" t="n">
        <x:f>IF(S181=1,COUNTIFS($S$5:S181,1),0)</x:f>
        <x:v>0</x:v>
      </x:c>
      <x:c r="U181" s="1"/>
      <x:c r="V181" s="1"/>
      <x:c r="W181" s="1"/>
    </x:row>
    <x:row r="182" ht="32" customHeight="1">
      <x:c r="A182" s="170"/>
      <x:c r="B182" s="170"/>
      <x:c r="C182" s="170"/>
      <x:c r="D182" s="170"/>
      <x:c r="E182" s="170"/>
      <x:c r="F182" s="171"/>
      <x:c r="G182" s="172"/>
      <x:c r="H182" s="170"/>
      <x:c r="I182" s="173" t="str">
        <x:f>IF(A182="","",IF(OR(P182&lt;&gt;"",COUNTIFS(Lotes!$B$5:$B$204,A182,Lotes!$U$5:$U$204,1)&gt;0,Listas!$B$13&lt;&gt;"OK"),"n.a.",SUMIFS(Lotes!$J$5:$J$204,Lotes!$B$5:$B$204,A182)))</x:f>
      </x:c>
      <x:c r="J182" s="174" t="str">
        <x:f>IF(A182="","",IF(OR(P182&lt;&gt;"",COUNTIFS(Lotes!$B$5:$B$204,A182,Lotes!$U$5:$U$204,1)&gt;0,Listas!$B$13&lt;&gt;"OK"),"n.a.",SUMIFS(Lotes!$L$5:$L$204,Lotes!$B$5:$B$204,A182)))</x:f>
      </x:c>
      <x:c r="K182" s="173" t="str">
        <x:f>IF(A182="","",IF(OR(P182&lt;&gt;"",COUNTIFS(Lotes!$B$5:$B$204,A182,Lotes!$U$5:$U$204,1)&gt;0,Listas!$B$13&lt;&gt;"OK"),"n.a.",COUNTIFS(Lotes!$B$5:$B$204,A182,Lotes!$J$5:$J$204,"&gt;0")))</x:f>
      </x:c>
      <x:c r="L182" s="173" t="str">
        <x:f>IF(A182="","",IF(OR(P182&lt;&gt;"",COUNTIFS(Lotes!$B$5:$B$204,A182,Lotes!$U$5:$U$204,1)&gt;0,Listas!$B$13&lt;&gt;"OK"),"n.a.",COUNTIFS(Lotes!$B$5:$B$204,A182,Lotes!$J$5:$J$204,"&gt;0",Lotes!$N$5:$N$204,"VENCIDO")))</x:f>
      </x:c>
      <x:c r="M182" s="173" t="str">
        <x:f>IF(A182="","",IF(OR(P182&lt;&gt;"",COUNTIFS(Lotes!$B$5:$B$204,A182,Lotes!$U$5:$U$204,1)&gt;0,Listas!$B$13&lt;&gt;"OK"),"n.a.",COUNTIFS(Lotes!$B$5:$B$204,A182,Lotes!$J$5:$J$204,"&gt;0",Lotes!$N$5:$N$204,"CRÍTICO")+COUNTIFS(Lotes!$B$5:$B$204,A182,Lotes!$J$5:$J$204,"&gt;0",Lotes!$N$5:$N$204,"VENCE NA JANELA")))</x:f>
      </x:c>
      <x:c r="N182" s="173" t="str">
        <x:f>IF(A182="","",IF(OR(P182&lt;&gt;"",COUNTIFS(Lotes!$B$5:$B$204,A182,Lotes!$U$5:$U$204,1)&gt;0,Listas!$B$13&lt;&gt;"OK"),"REVISAR DADOS",IF(H182="Inativo","INATIVO",IF(Q182&lt;=F182,"REPOR","OK"))))</x:f>
      </x:c>
      <x:c r="O182" s="27"/>
      <x:c r="P182" s="163" t="str">
        <x:f>IF(COUNTA(A182:H182,O182)=0,"",IF(OR(A182="",COUNTIFS($A$5:$A$204,A182)&lt;&gt;1),"SKU ausente ou duplicado",IF(OR(B182="",D182=""),"Produto ou unidade ausente",IF(OR(NOT(ISNUMBER(F182)),F182&lt;0,NOT(ISNUMBER(G182)),G182&lt;0),"Mínimo ou custo inválido",IF(AND(H182&lt;&gt;"Ativo",H182&lt;&gt;"Inativo"),"Status de produto inválido","")))))</x:f>
      </x:c>
      <x:c r="Q182" s="163" t="str">
        <x:f>IF(A182="","",IF(OR(P182&lt;&gt;"",COUNTIFS(Lotes!$B$5:$B$204,A182,Lotes!$U$5:$U$204,1)&gt;0,Listas!$B$13&lt;&gt;"OK"),"n.a.",SUMIFS(Lotes!$V$5:$V$204,Lotes!$B$5:$B$204,A182)))</x:f>
      </x:c>
      <x:c r="R182" s="163" t="n">
        <x:f>IF(P182="",0,1)</x:f>
        <x:v>0</x:v>
      </x:c>
      <x:c r="S182" s="163" t="n">
        <x:f>IF(COUNTA(A182:H182,O182)=0,0,IF(OR(Listas!$B$19="Todos",A182=Listas!$B$19,A182=""),1,0))</x:f>
        <x:v>0</x:v>
      </x:c>
      <x:c r="T182" s="163" t="n">
        <x:f>IF(S182=1,COUNTIFS($S$5:S182,1),0)</x:f>
        <x:v>0</x:v>
      </x:c>
      <x:c r="U182" s="1"/>
      <x:c r="V182" s="1"/>
      <x:c r="W182" s="1"/>
    </x:row>
    <x:row r="183" ht="32" customHeight="1">
      <x:c r="A183" s="170"/>
      <x:c r="B183" s="170"/>
      <x:c r="C183" s="170"/>
      <x:c r="D183" s="170"/>
      <x:c r="E183" s="170"/>
      <x:c r="F183" s="171"/>
      <x:c r="G183" s="172"/>
      <x:c r="H183" s="170"/>
      <x:c r="I183" s="173" t="str">
        <x:f>IF(A183="","",IF(OR(P183&lt;&gt;"",COUNTIFS(Lotes!$B$5:$B$204,A183,Lotes!$U$5:$U$204,1)&gt;0,Listas!$B$13&lt;&gt;"OK"),"n.a.",SUMIFS(Lotes!$J$5:$J$204,Lotes!$B$5:$B$204,A183)))</x:f>
      </x:c>
      <x:c r="J183" s="174" t="str">
        <x:f>IF(A183="","",IF(OR(P183&lt;&gt;"",COUNTIFS(Lotes!$B$5:$B$204,A183,Lotes!$U$5:$U$204,1)&gt;0,Listas!$B$13&lt;&gt;"OK"),"n.a.",SUMIFS(Lotes!$L$5:$L$204,Lotes!$B$5:$B$204,A183)))</x:f>
      </x:c>
      <x:c r="K183" s="173" t="str">
        <x:f>IF(A183="","",IF(OR(P183&lt;&gt;"",COUNTIFS(Lotes!$B$5:$B$204,A183,Lotes!$U$5:$U$204,1)&gt;0,Listas!$B$13&lt;&gt;"OK"),"n.a.",COUNTIFS(Lotes!$B$5:$B$204,A183,Lotes!$J$5:$J$204,"&gt;0")))</x:f>
      </x:c>
      <x:c r="L183" s="173" t="str">
        <x:f>IF(A183="","",IF(OR(P183&lt;&gt;"",COUNTIFS(Lotes!$B$5:$B$204,A183,Lotes!$U$5:$U$204,1)&gt;0,Listas!$B$13&lt;&gt;"OK"),"n.a.",COUNTIFS(Lotes!$B$5:$B$204,A183,Lotes!$J$5:$J$204,"&gt;0",Lotes!$N$5:$N$204,"VENCIDO")))</x:f>
      </x:c>
      <x:c r="M183" s="173" t="str">
        <x:f>IF(A183="","",IF(OR(P183&lt;&gt;"",COUNTIFS(Lotes!$B$5:$B$204,A183,Lotes!$U$5:$U$204,1)&gt;0,Listas!$B$13&lt;&gt;"OK"),"n.a.",COUNTIFS(Lotes!$B$5:$B$204,A183,Lotes!$J$5:$J$204,"&gt;0",Lotes!$N$5:$N$204,"CRÍTICO")+COUNTIFS(Lotes!$B$5:$B$204,A183,Lotes!$J$5:$J$204,"&gt;0",Lotes!$N$5:$N$204,"VENCE NA JANELA")))</x:f>
      </x:c>
      <x:c r="N183" s="173" t="str">
        <x:f>IF(A183="","",IF(OR(P183&lt;&gt;"",COUNTIFS(Lotes!$B$5:$B$204,A183,Lotes!$U$5:$U$204,1)&gt;0,Listas!$B$13&lt;&gt;"OK"),"REVISAR DADOS",IF(H183="Inativo","INATIVO",IF(Q183&lt;=F183,"REPOR","OK"))))</x:f>
      </x:c>
      <x:c r="O183" s="27"/>
      <x:c r="P183" s="163" t="str">
        <x:f>IF(COUNTA(A183:H183,O183)=0,"",IF(OR(A183="",COUNTIFS($A$5:$A$204,A183)&lt;&gt;1),"SKU ausente ou duplicado",IF(OR(B183="",D183=""),"Produto ou unidade ausente",IF(OR(NOT(ISNUMBER(F183)),F183&lt;0,NOT(ISNUMBER(G183)),G183&lt;0),"Mínimo ou custo inválido",IF(AND(H183&lt;&gt;"Ativo",H183&lt;&gt;"Inativo"),"Status de produto inválido","")))))</x:f>
      </x:c>
      <x:c r="Q183" s="163" t="str">
        <x:f>IF(A183="","",IF(OR(P183&lt;&gt;"",COUNTIFS(Lotes!$B$5:$B$204,A183,Lotes!$U$5:$U$204,1)&gt;0,Listas!$B$13&lt;&gt;"OK"),"n.a.",SUMIFS(Lotes!$V$5:$V$204,Lotes!$B$5:$B$204,A183)))</x:f>
      </x:c>
      <x:c r="R183" s="163" t="n">
        <x:f>IF(P183="",0,1)</x:f>
        <x:v>0</x:v>
      </x:c>
      <x:c r="S183" s="163" t="n">
        <x:f>IF(COUNTA(A183:H183,O183)=0,0,IF(OR(Listas!$B$19="Todos",A183=Listas!$B$19,A183=""),1,0))</x:f>
        <x:v>0</x:v>
      </x:c>
      <x:c r="T183" s="163" t="n">
        <x:f>IF(S183=1,COUNTIFS($S$5:S183,1),0)</x:f>
        <x:v>0</x:v>
      </x:c>
      <x:c r="U183" s="1"/>
      <x:c r="V183" s="1"/>
      <x:c r="W183" s="1"/>
    </x:row>
    <x:row r="184" ht="32" customHeight="1">
      <x:c r="A184" s="170"/>
      <x:c r="B184" s="170"/>
      <x:c r="C184" s="170"/>
      <x:c r="D184" s="170"/>
      <x:c r="E184" s="170"/>
      <x:c r="F184" s="171"/>
      <x:c r="G184" s="172"/>
      <x:c r="H184" s="170"/>
      <x:c r="I184" s="173" t="str">
        <x:f>IF(A184="","",IF(OR(P184&lt;&gt;"",COUNTIFS(Lotes!$B$5:$B$204,A184,Lotes!$U$5:$U$204,1)&gt;0,Listas!$B$13&lt;&gt;"OK"),"n.a.",SUMIFS(Lotes!$J$5:$J$204,Lotes!$B$5:$B$204,A184)))</x:f>
      </x:c>
      <x:c r="J184" s="174" t="str">
        <x:f>IF(A184="","",IF(OR(P184&lt;&gt;"",COUNTIFS(Lotes!$B$5:$B$204,A184,Lotes!$U$5:$U$204,1)&gt;0,Listas!$B$13&lt;&gt;"OK"),"n.a.",SUMIFS(Lotes!$L$5:$L$204,Lotes!$B$5:$B$204,A184)))</x:f>
      </x:c>
      <x:c r="K184" s="173" t="str">
        <x:f>IF(A184="","",IF(OR(P184&lt;&gt;"",COUNTIFS(Lotes!$B$5:$B$204,A184,Lotes!$U$5:$U$204,1)&gt;0,Listas!$B$13&lt;&gt;"OK"),"n.a.",COUNTIFS(Lotes!$B$5:$B$204,A184,Lotes!$J$5:$J$204,"&gt;0")))</x:f>
      </x:c>
      <x:c r="L184" s="173" t="str">
        <x:f>IF(A184="","",IF(OR(P184&lt;&gt;"",COUNTIFS(Lotes!$B$5:$B$204,A184,Lotes!$U$5:$U$204,1)&gt;0,Listas!$B$13&lt;&gt;"OK"),"n.a.",COUNTIFS(Lotes!$B$5:$B$204,A184,Lotes!$J$5:$J$204,"&gt;0",Lotes!$N$5:$N$204,"VENCIDO")))</x:f>
      </x:c>
      <x:c r="M184" s="173" t="str">
        <x:f>IF(A184="","",IF(OR(P184&lt;&gt;"",COUNTIFS(Lotes!$B$5:$B$204,A184,Lotes!$U$5:$U$204,1)&gt;0,Listas!$B$13&lt;&gt;"OK"),"n.a.",COUNTIFS(Lotes!$B$5:$B$204,A184,Lotes!$J$5:$J$204,"&gt;0",Lotes!$N$5:$N$204,"CRÍTICO")+COUNTIFS(Lotes!$B$5:$B$204,A184,Lotes!$J$5:$J$204,"&gt;0",Lotes!$N$5:$N$204,"VENCE NA JANELA")))</x:f>
      </x:c>
      <x:c r="N184" s="173" t="str">
        <x:f>IF(A184="","",IF(OR(P184&lt;&gt;"",COUNTIFS(Lotes!$B$5:$B$204,A184,Lotes!$U$5:$U$204,1)&gt;0,Listas!$B$13&lt;&gt;"OK"),"REVISAR DADOS",IF(H184="Inativo","INATIVO",IF(Q184&lt;=F184,"REPOR","OK"))))</x:f>
      </x:c>
      <x:c r="O184" s="27"/>
      <x:c r="P184" s="163" t="str">
        <x:f>IF(COUNTA(A184:H184,O184)=0,"",IF(OR(A184="",COUNTIFS($A$5:$A$204,A184)&lt;&gt;1),"SKU ausente ou duplicado",IF(OR(B184="",D184=""),"Produto ou unidade ausente",IF(OR(NOT(ISNUMBER(F184)),F184&lt;0,NOT(ISNUMBER(G184)),G184&lt;0),"Mínimo ou custo inválido",IF(AND(H184&lt;&gt;"Ativo",H184&lt;&gt;"Inativo"),"Status de produto inválido","")))))</x:f>
      </x:c>
      <x:c r="Q184" s="163" t="str">
        <x:f>IF(A184="","",IF(OR(P184&lt;&gt;"",COUNTIFS(Lotes!$B$5:$B$204,A184,Lotes!$U$5:$U$204,1)&gt;0,Listas!$B$13&lt;&gt;"OK"),"n.a.",SUMIFS(Lotes!$V$5:$V$204,Lotes!$B$5:$B$204,A184)))</x:f>
      </x:c>
      <x:c r="R184" s="163" t="n">
        <x:f>IF(P184="",0,1)</x:f>
        <x:v>0</x:v>
      </x:c>
      <x:c r="S184" s="163" t="n">
        <x:f>IF(COUNTA(A184:H184,O184)=0,0,IF(OR(Listas!$B$19="Todos",A184=Listas!$B$19,A184=""),1,0))</x:f>
        <x:v>0</x:v>
      </x:c>
      <x:c r="T184" s="163" t="n">
        <x:f>IF(S184=1,COUNTIFS($S$5:S184,1),0)</x:f>
        <x:v>0</x:v>
      </x:c>
      <x:c r="U184" s="1"/>
      <x:c r="V184" s="1"/>
      <x:c r="W184" s="1"/>
    </x:row>
    <x:row r="185" ht="32" customHeight="1">
      <x:c r="A185" s="170"/>
      <x:c r="B185" s="170"/>
      <x:c r="C185" s="170"/>
      <x:c r="D185" s="170"/>
      <x:c r="E185" s="170"/>
      <x:c r="F185" s="171"/>
      <x:c r="G185" s="172"/>
      <x:c r="H185" s="170"/>
      <x:c r="I185" s="173" t="str">
        <x:f>IF(A185="","",IF(OR(P185&lt;&gt;"",COUNTIFS(Lotes!$B$5:$B$204,A185,Lotes!$U$5:$U$204,1)&gt;0,Listas!$B$13&lt;&gt;"OK"),"n.a.",SUMIFS(Lotes!$J$5:$J$204,Lotes!$B$5:$B$204,A185)))</x:f>
      </x:c>
      <x:c r="J185" s="174" t="str">
        <x:f>IF(A185="","",IF(OR(P185&lt;&gt;"",COUNTIFS(Lotes!$B$5:$B$204,A185,Lotes!$U$5:$U$204,1)&gt;0,Listas!$B$13&lt;&gt;"OK"),"n.a.",SUMIFS(Lotes!$L$5:$L$204,Lotes!$B$5:$B$204,A185)))</x:f>
      </x:c>
      <x:c r="K185" s="173" t="str">
        <x:f>IF(A185="","",IF(OR(P185&lt;&gt;"",COUNTIFS(Lotes!$B$5:$B$204,A185,Lotes!$U$5:$U$204,1)&gt;0,Listas!$B$13&lt;&gt;"OK"),"n.a.",COUNTIFS(Lotes!$B$5:$B$204,A185,Lotes!$J$5:$J$204,"&gt;0")))</x:f>
      </x:c>
      <x:c r="L185" s="173" t="str">
        <x:f>IF(A185="","",IF(OR(P185&lt;&gt;"",COUNTIFS(Lotes!$B$5:$B$204,A185,Lotes!$U$5:$U$204,1)&gt;0,Listas!$B$13&lt;&gt;"OK"),"n.a.",COUNTIFS(Lotes!$B$5:$B$204,A185,Lotes!$J$5:$J$204,"&gt;0",Lotes!$N$5:$N$204,"VENCIDO")))</x:f>
      </x:c>
      <x:c r="M185" s="173" t="str">
        <x:f>IF(A185="","",IF(OR(P185&lt;&gt;"",COUNTIFS(Lotes!$B$5:$B$204,A185,Lotes!$U$5:$U$204,1)&gt;0,Listas!$B$13&lt;&gt;"OK"),"n.a.",COUNTIFS(Lotes!$B$5:$B$204,A185,Lotes!$J$5:$J$204,"&gt;0",Lotes!$N$5:$N$204,"CRÍTICO")+COUNTIFS(Lotes!$B$5:$B$204,A185,Lotes!$J$5:$J$204,"&gt;0",Lotes!$N$5:$N$204,"VENCE NA JANELA")))</x:f>
      </x:c>
      <x:c r="N185" s="173" t="str">
        <x:f>IF(A185="","",IF(OR(P185&lt;&gt;"",COUNTIFS(Lotes!$B$5:$B$204,A185,Lotes!$U$5:$U$204,1)&gt;0,Listas!$B$13&lt;&gt;"OK"),"REVISAR DADOS",IF(H185="Inativo","INATIVO",IF(Q185&lt;=F185,"REPOR","OK"))))</x:f>
      </x:c>
      <x:c r="O185" s="27"/>
      <x:c r="P185" s="163" t="str">
        <x:f>IF(COUNTA(A185:H185,O185)=0,"",IF(OR(A185="",COUNTIFS($A$5:$A$204,A185)&lt;&gt;1),"SKU ausente ou duplicado",IF(OR(B185="",D185=""),"Produto ou unidade ausente",IF(OR(NOT(ISNUMBER(F185)),F185&lt;0,NOT(ISNUMBER(G185)),G185&lt;0),"Mínimo ou custo inválido",IF(AND(H185&lt;&gt;"Ativo",H185&lt;&gt;"Inativo"),"Status de produto inválido","")))))</x:f>
      </x:c>
      <x:c r="Q185" s="163" t="str">
        <x:f>IF(A185="","",IF(OR(P185&lt;&gt;"",COUNTIFS(Lotes!$B$5:$B$204,A185,Lotes!$U$5:$U$204,1)&gt;0,Listas!$B$13&lt;&gt;"OK"),"n.a.",SUMIFS(Lotes!$V$5:$V$204,Lotes!$B$5:$B$204,A185)))</x:f>
      </x:c>
      <x:c r="R185" s="163" t="n">
        <x:f>IF(P185="",0,1)</x:f>
        <x:v>0</x:v>
      </x:c>
      <x:c r="S185" s="163" t="n">
        <x:f>IF(COUNTA(A185:H185,O185)=0,0,IF(OR(Listas!$B$19="Todos",A185=Listas!$B$19,A185=""),1,0))</x:f>
        <x:v>0</x:v>
      </x:c>
      <x:c r="T185" s="163" t="n">
        <x:f>IF(S185=1,COUNTIFS($S$5:S185,1),0)</x:f>
        <x:v>0</x:v>
      </x:c>
      <x:c r="U185" s="1"/>
      <x:c r="V185" s="1"/>
      <x:c r="W185" s="1"/>
    </x:row>
    <x:row r="186" ht="32" customHeight="1">
      <x:c r="A186" s="170"/>
      <x:c r="B186" s="170"/>
      <x:c r="C186" s="170"/>
      <x:c r="D186" s="170"/>
      <x:c r="E186" s="170"/>
      <x:c r="F186" s="171"/>
      <x:c r="G186" s="172"/>
      <x:c r="H186" s="170"/>
      <x:c r="I186" s="173" t="str">
        <x:f>IF(A186="","",IF(OR(P186&lt;&gt;"",COUNTIFS(Lotes!$B$5:$B$204,A186,Lotes!$U$5:$U$204,1)&gt;0,Listas!$B$13&lt;&gt;"OK"),"n.a.",SUMIFS(Lotes!$J$5:$J$204,Lotes!$B$5:$B$204,A186)))</x:f>
      </x:c>
      <x:c r="J186" s="174" t="str">
        <x:f>IF(A186="","",IF(OR(P186&lt;&gt;"",COUNTIFS(Lotes!$B$5:$B$204,A186,Lotes!$U$5:$U$204,1)&gt;0,Listas!$B$13&lt;&gt;"OK"),"n.a.",SUMIFS(Lotes!$L$5:$L$204,Lotes!$B$5:$B$204,A186)))</x:f>
      </x:c>
      <x:c r="K186" s="173" t="str">
        <x:f>IF(A186="","",IF(OR(P186&lt;&gt;"",COUNTIFS(Lotes!$B$5:$B$204,A186,Lotes!$U$5:$U$204,1)&gt;0,Listas!$B$13&lt;&gt;"OK"),"n.a.",COUNTIFS(Lotes!$B$5:$B$204,A186,Lotes!$J$5:$J$204,"&gt;0")))</x:f>
      </x:c>
      <x:c r="L186" s="173" t="str">
        <x:f>IF(A186="","",IF(OR(P186&lt;&gt;"",COUNTIFS(Lotes!$B$5:$B$204,A186,Lotes!$U$5:$U$204,1)&gt;0,Listas!$B$13&lt;&gt;"OK"),"n.a.",COUNTIFS(Lotes!$B$5:$B$204,A186,Lotes!$J$5:$J$204,"&gt;0",Lotes!$N$5:$N$204,"VENCIDO")))</x:f>
      </x:c>
      <x:c r="M186" s="173" t="str">
        <x:f>IF(A186="","",IF(OR(P186&lt;&gt;"",COUNTIFS(Lotes!$B$5:$B$204,A186,Lotes!$U$5:$U$204,1)&gt;0,Listas!$B$13&lt;&gt;"OK"),"n.a.",COUNTIFS(Lotes!$B$5:$B$204,A186,Lotes!$J$5:$J$204,"&gt;0",Lotes!$N$5:$N$204,"CRÍTICO")+COUNTIFS(Lotes!$B$5:$B$204,A186,Lotes!$J$5:$J$204,"&gt;0",Lotes!$N$5:$N$204,"VENCE NA JANELA")))</x:f>
      </x:c>
      <x:c r="N186" s="173" t="str">
        <x:f>IF(A186="","",IF(OR(P186&lt;&gt;"",COUNTIFS(Lotes!$B$5:$B$204,A186,Lotes!$U$5:$U$204,1)&gt;0,Listas!$B$13&lt;&gt;"OK"),"REVISAR DADOS",IF(H186="Inativo","INATIVO",IF(Q186&lt;=F186,"REPOR","OK"))))</x:f>
      </x:c>
      <x:c r="O186" s="27"/>
      <x:c r="P186" s="163" t="str">
        <x:f>IF(COUNTA(A186:H186,O186)=0,"",IF(OR(A186="",COUNTIFS($A$5:$A$204,A186)&lt;&gt;1),"SKU ausente ou duplicado",IF(OR(B186="",D186=""),"Produto ou unidade ausente",IF(OR(NOT(ISNUMBER(F186)),F186&lt;0,NOT(ISNUMBER(G186)),G186&lt;0),"Mínimo ou custo inválido",IF(AND(H186&lt;&gt;"Ativo",H186&lt;&gt;"Inativo"),"Status de produto inválido","")))))</x:f>
      </x:c>
      <x:c r="Q186" s="163" t="str">
        <x:f>IF(A186="","",IF(OR(P186&lt;&gt;"",COUNTIFS(Lotes!$B$5:$B$204,A186,Lotes!$U$5:$U$204,1)&gt;0,Listas!$B$13&lt;&gt;"OK"),"n.a.",SUMIFS(Lotes!$V$5:$V$204,Lotes!$B$5:$B$204,A186)))</x:f>
      </x:c>
      <x:c r="R186" s="163" t="n">
        <x:f>IF(P186="",0,1)</x:f>
        <x:v>0</x:v>
      </x:c>
      <x:c r="S186" s="163" t="n">
        <x:f>IF(COUNTA(A186:H186,O186)=0,0,IF(OR(Listas!$B$19="Todos",A186=Listas!$B$19,A186=""),1,0))</x:f>
        <x:v>0</x:v>
      </x:c>
      <x:c r="T186" s="163" t="n">
        <x:f>IF(S186=1,COUNTIFS($S$5:S186,1),0)</x:f>
        <x:v>0</x:v>
      </x:c>
      <x:c r="U186" s="1"/>
      <x:c r="V186" s="1"/>
      <x:c r="W186" s="1"/>
    </x:row>
    <x:row r="187" ht="32" customHeight="1">
      <x:c r="A187" s="170"/>
      <x:c r="B187" s="170"/>
      <x:c r="C187" s="170"/>
      <x:c r="D187" s="170"/>
      <x:c r="E187" s="170"/>
      <x:c r="F187" s="171"/>
      <x:c r="G187" s="172"/>
      <x:c r="H187" s="170"/>
      <x:c r="I187" s="173" t="str">
        <x:f>IF(A187="","",IF(OR(P187&lt;&gt;"",COUNTIFS(Lotes!$B$5:$B$204,A187,Lotes!$U$5:$U$204,1)&gt;0,Listas!$B$13&lt;&gt;"OK"),"n.a.",SUMIFS(Lotes!$J$5:$J$204,Lotes!$B$5:$B$204,A187)))</x:f>
      </x:c>
      <x:c r="J187" s="174" t="str">
        <x:f>IF(A187="","",IF(OR(P187&lt;&gt;"",COUNTIFS(Lotes!$B$5:$B$204,A187,Lotes!$U$5:$U$204,1)&gt;0,Listas!$B$13&lt;&gt;"OK"),"n.a.",SUMIFS(Lotes!$L$5:$L$204,Lotes!$B$5:$B$204,A187)))</x:f>
      </x:c>
      <x:c r="K187" s="173" t="str">
        <x:f>IF(A187="","",IF(OR(P187&lt;&gt;"",COUNTIFS(Lotes!$B$5:$B$204,A187,Lotes!$U$5:$U$204,1)&gt;0,Listas!$B$13&lt;&gt;"OK"),"n.a.",COUNTIFS(Lotes!$B$5:$B$204,A187,Lotes!$J$5:$J$204,"&gt;0")))</x:f>
      </x:c>
      <x:c r="L187" s="173" t="str">
        <x:f>IF(A187="","",IF(OR(P187&lt;&gt;"",COUNTIFS(Lotes!$B$5:$B$204,A187,Lotes!$U$5:$U$204,1)&gt;0,Listas!$B$13&lt;&gt;"OK"),"n.a.",COUNTIFS(Lotes!$B$5:$B$204,A187,Lotes!$J$5:$J$204,"&gt;0",Lotes!$N$5:$N$204,"VENCIDO")))</x:f>
      </x:c>
      <x:c r="M187" s="173" t="str">
        <x:f>IF(A187="","",IF(OR(P187&lt;&gt;"",COUNTIFS(Lotes!$B$5:$B$204,A187,Lotes!$U$5:$U$204,1)&gt;0,Listas!$B$13&lt;&gt;"OK"),"n.a.",COUNTIFS(Lotes!$B$5:$B$204,A187,Lotes!$J$5:$J$204,"&gt;0",Lotes!$N$5:$N$204,"CRÍTICO")+COUNTIFS(Lotes!$B$5:$B$204,A187,Lotes!$J$5:$J$204,"&gt;0",Lotes!$N$5:$N$204,"VENCE NA JANELA")))</x:f>
      </x:c>
      <x:c r="N187" s="173" t="str">
        <x:f>IF(A187="","",IF(OR(P187&lt;&gt;"",COUNTIFS(Lotes!$B$5:$B$204,A187,Lotes!$U$5:$U$204,1)&gt;0,Listas!$B$13&lt;&gt;"OK"),"REVISAR DADOS",IF(H187="Inativo","INATIVO",IF(Q187&lt;=F187,"REPOR","OK"))))</x:f>
      </x:c>
      <x:c r="O187" s="27"/>
      <x:c r="P187" s="163" t="str">
        <x:f>IF(COUNTA(A187:H187,O187)=0,"",IF(OR(A187="",COUNTIFS($A$5:$A$204,A187)&lt;&gt;1),"SKU ausente ou duplicado",IF(OR(B187="",D187=""),"Produto ou unidade ausente",IF(OR(NOT(ISNUMBER(F187)),F187&lt;0,NOT(ISNUMBER(G187)),G187&lt;0),"Mínimo ou custo inválido",IF(AND(H187&lt;&gt;"Ativo",H187&lt;&gt;"Inativo"),"Status de produto inválido","")))))</x:f>
      </x:c>
      <x:c r="Q187" s="163" t="str">
        <x:f>IF(A187="","",IF(OR(P187&lt;&gt;"",COUNTIFS(Lotes!$B$5:$B$204,A187,Lotes!$U$5:$U$204,1)&gt;0,Listas!$B$13&lt;&gt;"OK"),"n.a.",SUMIFS(Lotes!$V$5:$V$204,Lotes!$B$5:$B$204,A187)))</x:f>
      </x:c>
      <x:c r="R187" s="163" t="n">
        <x:f>IF(P187="",0,1)</x:f>
        <x:v>0</x:v>
      </x:c>
      <x:c r="S187" s="163" t="n">
        <x:f>IF(COUNTA(A187:H187,O187)=0,0,IF(OR(Listas!$B$19="Todos",A187=Listas!$B$19,A187=""),1,0))</x:f>
        <x:v>0</x:v>
      </x:c>
      <x:c r="T187" s="163" t="n">
        <x:f>IF(S187=1,COUNTIFS($S$5:S187,1),0)</x:f>
        <x:v>0</x:v>
      </x:c>
      <x:c r="U187" s="1"/>
      <x:c r="V187" s="1"/>
      <x:c r="W187" s="1"/>
    </x:row>
    <x:row r="188" ht="32" customHeight="1">
      <x:c r="A188" s="170"/>
      <x:c r="B188" s="170"/>
      <x:c r="C188" s="170"/>
      <x:c r="D188" s="170"/>
      <x:c r="E188" s="170"/>
      <x:c r="F188" s="171"/>
      <x:c r="G188" s="172"/>
      <x:c r="H188" s="170"/>
      <x:c r="I188" s="173" t="str">
        <x:f>IF(A188="","",IF(OR(P188&lt;&gt;"",COUNTIFS(Lotes!$B$5:$B$204,A188,Lotes!$U$5:$U$204,1)&gt;0,Listas!$B$13&lt;&gt;"OK"),"n.a.",SUMIFS(Lotes!$J$5:$J$204,Lotes!$B$5:$B$204,A188)))</x:f>
      </x:c>
      <x:c r="J188" s="174" t="str">
        <x:f>IF(A188="","",IF(OR(P188&lt;&gt;"",COUNTIFS(Lotes!$B$5:$B$204,A188,Lotes!$U$5:$U$204,1)&gt;0,Listas!$B$13&lt;&gt;"OK"),"n.a.",SUMIFS(Lotes!$L$5:$L$204,Lotes!$B$5:$B$204,A188)))</x:f>
      </x:c>
      <x:c r="K188" s="173" t="str">
        <x:f>IF(A188="","",IF(OR(P188&lt;&gt;"",COUNTIFS(Lotes!$B$5:$B$204,A188,Lotes!$U$5:$U$204,1)&gt;0,Listas!$B$13&lt;&gt;"OK"),"n.a.",COUNTIFS(Lotes!$B$5:$B$204,A188,Lotes!$J$5:$J$204,"&gt;0")))</x:f>
      </x:c>
      <x:c r="L188" s="173" t="str">
        <x:f>IF(A188="","",IF(OR(P188&lt;&gt;"",COUNTIFS(Lotes!$B$5:$B$204,A188,Lotes!$U$5:$U$204,1)&gt;0,Listas!$B$13&lt;&gt;"OK"),"n.a.",COUNTIFS(Lotes!$B$5:$B$204,A188,Lotes!$J$5:$J$204,"&gt;0",Lotes!$N$5:$N$204,"VENCIDO")))</x:f>
      </x:c>
      <x:c r="M188" s="173" t="str">
        <x:f>IF(A188="","",IF(OR(P188&lt;&gt;"",COUNTIFS(Lotes!$B$5:$B$204,A188,Lotes!$U$5:$U$204,1)&gt;0,Listas!$B$13&lt;&gt;"OK"),"n.a.",COUNTIFS(Lotes!$B$5:$B$204,A188,Lotes!$J$5:$J$204,"&gt;0",Lotes!$N$5:$N$204,"CRÍTICO")+COUNTIFS(Lotes!$B$5:$B$204,A188,Lotes!$J$5:$J$204,"&gt;0",Lotes!$N$5:$N$204,"VENCE NA JANELA")))</x:f>
      </x:c>
      <x:c r="N188" s="173" t="str">
        <x:f>IF(A188="","",IF(OR(P188&lt;&gt;"",COUNTIFS(Lotes!$B$5:$B$204,A188,Lotes!$U$5:$U$204,1)&gt;0,Listas!$B$13&lt;&gt;"OK"),"REVISAR DADOS",IF(H188="Inativo","INATIVO",IF(Q188&lt;=F188,"REPOR","OK"))))</x:f>
      </x:c>
      <x:c r="O188" s="27"/>
      <x:c r="P188" s="163" t="str">
        <x:f>IF(COUNTA(A188:H188,O188)=0,"",IF(OR(A188="",COUNTIFS($A$5:$A$204,A188)&lt;&gt;1),"SKU ausente ou duplicado",IF(OR(B188="",D188=""),"Produto ou unidade ausente",IF(OR(NOT(ISNUMBER(F188)),F188&lt;0,NOT(ISNUMBER(G188)),G188&lt;0),"Mínimo ou custo inválido",IF(AND(H188&lt;&gt;"Ativo",H188&lt;&gt;"Inativo"),"Status de produto inválido","")))))</x:f>
      </x:c>
      <x:c r="Q188" s="163" t="str">
        <x:f>IF(A188="","",IF(OR(P188&lt;&gt;"",COUNTIFS(Lotes!$B$5:$B$204,A188,Lotes!$U$5:$U$204,1)&gt;0,Listas!$B$13&lt;&gt;"OK"),"n.a.",SUMIFS(Lotes!$V$5:$V$204,Lotes!$B$5:$B$204,A188)))</x:f>
      </x:c>
      <x:c r="R188" s="163" t="n">
        <x:f>IF(P188="",0,1)</x:f>
        <x:v>0</x:v>
      </x:c>
      <x:c r="S188" s="163" t="n">
        <x:f>IF(COUNTA(A188:H188,O188)=0,0,IF(OR(Listas!$B$19="Todos",A188=Listas!$B$19,A188=""),1,0))</x:f>
        <x:v>0</x:v>
      </x:c>
      <x:c r="T188" s="163" t="n">
        <x:f>IF(S188=1,COUNTIFS($S$5:S188,1),0)</x:f>
        <x:v>0</x:v>
      </x:c>
      <x:c r="U188" s="1"/>
      <x:c r="V188" s="1"/>
      <x:c r="W188" s="1"/>
    </x:row>
    <x:row r="189" ht="32" customHeight="1">
      <x:c r="A189" s="170"/>
      <x:c r="B189" s="170"/>
      <x:c r="C189" s="170"/>
      <x:c r="D189" s="170"/>
      <x:c r="E189" s="170"/>
      <x:c r="F189" s="171"/>
      <x:c r="G189" s="172"/>
      <x:c r="H189" s="170"/>
      <x:c r="I189" s="173" t="str">
        <x:f>IF(A189="","",IF(OR(P189&lt;&gt;"",COUNTIFS(Lotes!$B$5:$B$204,A189,Lotes!$U$5:$U$204,1)&gt;0,Listas!$B$13&lt;&gt;"OK"),"n.a.",SUMIFS(Lotes!$J$5:$J$204,Lotes!$B$5:$B$204,A189)))</x:f>
      </x:c>
      <x:c r="J189" s="174" t="str">
        <x:f>IF(A189="","",IF(OR(P189&lt;&gt;"",COUNTIFS(Lotes!$B$5:$B$204,A189,Lotes!$U$5:$U$204,1)&gt;0,Listas!$B$13&lt;&gt;"OK"),"n.a.",SUMIFS(Lotes!$L$5:$L$204,Lotes!$B$5:$B$204,A189)))</x:f>
      </x:c>
      <x:c r="K189" s="173" t="str">
        <x:f>IF(A189="","",IF(OR(P189&lt;&gt;"",COUNTIFS(Lotes!$B$5:$B$204,A189,Lotes!$U$5:$U$204,1)&gt;0,Listas!$B$13&lt;&gt;"OK"),"n.a.",COUNTIFS(Lotes!$B$5:$B$204,A189,Lotes!$J$5:$J$204,"&gt;0")))</x:f>
      </x:c>
      <x:c r="L189" s="173" t="str">
        <x:f>IF(A189="","",IF(OR(P189&lt;&gt;"",COUNTIFS(Lotes!$B$5:$B$204,A189,Lotes!$U$5:$U$204,1)&gt;0,Listas!$B$13&lt;&gt;"OK"),"n.a.",COUNTIFS(Lotes!$B$5:$B$204,A189,Lotes!$J$5:$J$204,"&gt;0",Lotes!$N$5:$N$204,"VENCIDO")))</x:f>
      </x:c>
      <x:c r="M189" s="173" t="str">
        <x:f>IF(A189="","",IF(OR(P189&lt;&gt;"",COUNTIFS(Lotes!$B$5:$B$204,A189,Lotes!$U$5:$U$204,1)&gt;0,Listas!$B$13&lt;&gt;"OK"),"n.a.",COUNTIFS(Lotes!$B$5:$B$204,A189,Lotes!$J$5:$J$204,"&gt;0",Lotes!$N$5:$N$204,"CRÍTICO")+COUNTIFS(Lotes!$B$5:$B$204,A189,Lotes!$J$5:$J$204,"&gt;0",Lotes!$N$5:$N$204,"VENCE NA JANELA")))</x:f>
      </x:c>
      <x:c r="N189" s="173" t="str">
        <x:f>IF(A189="","",IF(OR(P189&lt;&gt;"",COUNTIFS(Lotes!$B$5:$B$204,A189,Lotes!$U$5:$U$204,1)&gt;0,Listas!$B$13&lt;&gt;"OK"),"REVISAR DADOS",IF(H189="Inativo","INATIVO",IF(Q189&lt;=F189,"REPOR","OK"))))</x:f>
      </x:c>
      <x:c r="O189" s="27"/>
      <x:c r="P189" s="163" t="str">
        <x:f>IF(COUNTA(A189:H189,O189)=0,"",IF(OR(A189="",COUNTIFS($A$5:$A$204,A189)&lt;&gt;1),"SKU ausente ou duplicado",IF(OR(B189="",D189=""),"Produto ou unidade ausente",IF(OR(NOT(ISNUMBER(F189)),F189&lt;0,NOT(ISNUMBER(G189)),G189&lt;0),"Mínimo ou custo inválido",IF(AND(H189&lt;&gt;"Ativo",H189&lt;&gt;"Inativo"),"Status de produto inválido","")))))</x:f>
      </x:c>
      <x:c r="Q189" s="163" t="str">
        <x:f>IF(A189="","",IF(OR(P189&lt;&gt;"",COUNTIFS(Lotes!$B$5:$B$204,A189,Lotes!$U$5:$U$204,1)&gt;0,Listas!$B$13&lt;&gt;"OK"),"n.a.",SUMIFS(Lotes!$V$5:$V$204,Lotes!$B$5:$B$204,A189)))</x:f>
      </x:c>
      <x:c r="R189" s="163" t="n">
        <x:f>IF(P189="",0,1)</x:f>
        <x:v>0</x:v>
      </x:c>
      <x:c r="S189" s="163" t="n">
        <x:f>IF(COUNTA(A189:H189,O189)=0,0,IF(OR(Listas!$B$19="Todos",A189=Listas!$B$19,A189=""),1,0))</x:f>
        <x:v>0</x:v>
      </x:c>
      <x:c r="T189" s="163" t="n">
        <x:f>IF(S189=1,COUNTIFS($S$5:S189,1),0)</x:f>
        <x:v>0</x:v>
      </x:c>
      <x:c r="U189" s="1"/>
      <x:c r="V189" s="1"/>
      <x:c r="W189" s="1"/>
    </x:row>
    <x:row r="190" ht="32" customHeight="1">
      <x:c r="A190" s="170"/>
      <x:c r="B190" s="170"/>
      <x:c r="C190" s="170"/>
      <x:c r="D190" s="170"/>
      <x:c r="E190" s="170"/>
      <x:c r="F190" s="171"/>
      <x:c r="G190" s="172"/>
      <x:c r="H190" s="170"/>
      <x:c r="I190" s="173" t="str">
        <x:f>IF(A190="","",IF(OR(P190&lt;&gt;"",COUNTIFS(Lotes!$B$5:$B$204,A190,Lotes!$U$5:$U$204,1)&gt;0,Listas!$B$13&lt;&gt;"OK"),"n.a.",SUMIFS(Lotes!$J$5:$J$204,Lotes!$B$5:$B$204,A190)))</x:f>
      </x:c>
      <x:c r="J190" s="174" t="str">
        <x:f>IF(A190="","",IF(OR(P190&lt;&gt;"",COUNTIFS(Lotes!$B$5:$B$204,A190,Lotes!$U$5:$U$204,1)&gt;0,Listas!$B$13&lt;&gt;"OK"),"n.a.",SUMIFS(Lotes!$L$5:$L$204,Lotes!$B$5:$B$204,A190)))</x:f>
      </x:c>
      <x:c r="K190" s="173" t="str">
        <x:f>IF(A190="","",IF(OR(P190&lt;&gt;"",COUNTIFS(Lotes!$B$5:$B$204,A190,Lotes!$U$5:$U$204,1)&gt;0,Listas!$B$13&lt;&gt;"OK"),"n.a.",COUNTIFS(Lotes!$B$5:$B$204,A190,Lotes!$J$5:$J$204,"&gt;0")))</x:f>
      </x:c>
      <x:c r="L190" s="173" t="str">
        <x:f>IF(A190="","",IF(OR(P190&lt;&gt;"",COUNTIFS(Lotes!$B$5:$B$204,A190,Lotes!$U$5:$U$204,1)&gt;0,Listas!$B$13&lt;&gt;"OK"),"n.a.",COUNTIFS(Lotes!$B$5:$B$204,A190,Lotes!$J$5:$J$204,"&gt;0",Lotes!$N$5:$N$204,"VENCIDO")))</x:f>
      </x:c>
      <x:c r="M190" s="173" t="str">
        <x:f>IF(A190="","",IF(OR(P190&lt;&gt;"",COUNTIFS(Lotes!$B$5:$B$204,A190,Lotes!$U$5:$U$204,1)&gt;0,Listas!$B$13&lt;&gt;"OK"),"n.a.",COUNTIFS(Lotes!$B$5:$B$204,A190,Lotes!$J$5:$J$204,"&gt;0",Lotes!$N$5:$N$204,"CRÍTICO")+COUNTIFS(Lotes!$B$5:$B$204,A190,Lotes!$J$5:$J$204,"&gt;0",Lotes!$N$5:$N$204,"VENCE NA JANELA")))</x:f>
      </x:c>
      <x:c r="N190" s="173" t="str">
        <x:f>IF(A190="","",IF(OR(P190&lt;&gt;"",COUNTIFS(Lotes!$B$5:$B$204,A190,Lotes!$U$5:$U$204,1)&gt;0,Listas!$B$13&lt;&gt;"OK"),"REVISAR DADOS",IF(H190="Inativo","INATIVO",IF(Q190&lt;=F190,"REPOR","OK"))))</x:f>
      </x:c>
      <x:c r="O190" s="27"/>
      <x:c r="P190" s="163" t="str">
        <x:f>IF(COUNTA(A190:H190,O190)=0,"",IF(OR(A190="",COUNTIFS($A$5:$A$204,A190)&lt;&gt;1),"SKU ausente ou duplicado",IF(OR(B190="",D190=""),"Produto ou unidade ausente",IF(OR(NOT(ISNUMBER(F190)),F190&lt;0,NOT(ISNUMBER(G190)),G190&lt;0),"Mínimo ou custo inválido",IF(AND(H190&lt;&gt;"Ativo",H190&lt;&gt;"Inativo"),"Status de produto inválido","")))))</x:f>
      </x:c>
      <x:c r="Q190" s="163" t="str">
        <x:f>IF(A190="","",IF(OR(P190&lt;&gt;"",COUNTIFS(Lotes!$B$5:$B$204,A190,Lotes!$U$5:$U$204,1)&gt;0,Listas!$B$13&lt;&gt;"OK"),"n.a.",SUMIFS(Lotes!$V$5:$V$204,Lotes!$B$5:$B$204,A190)))</x:f>
      </x:c>
      <x:c r="R190" s="163" t="n">
        <x:f>IF(P190="",0,1)</x:f>
        <x:v>0</x:v>
      </x:c>
      <x:c r="S190" s="163" t="n">
        <x:f>IF(COUNTA(A190:H190,O190)=0,0,IF(OR(Listas!$B$19="Todos",A190=Listas!$B$19,A190=""),1,0))</x:f>
        <x:v>0</x:v>
      </x:c>
      <x:c r="T190" s="163" t="n">
        <x:f>IF(S190=1,COUNTIFS($S$5:S190,1),0)</x:f>
        <x:v>0</x:v>
      </x:c>
      <x:c r="U190" s="1"/>
      <x:c r="V190" s="1"/>
      <x:c r="W190" s="1"/>
    </x:row>
    <x:row r="191" ht="32" customHeight="1">
      <x:c r="A191" s="170"/>
      <x:c r="B191" s="170"/>
      <x:c r="C191" s="170"/>
      <x:c r="D191" s="170"/>
      <x:c r="E191" s="170"/>
      <x:c r="F191" s="171"/>
      <x:c r="G191" s="172"/>
      <x:c r="H191" s="170"/>
      <x:c r="I191" s="173" t="str">
        <x:f>IF(A191="","",IF(OR(P191&lt;&gt;"",COUNTIFS(Lotes!$B$5:$B$204,A191,Lotes!$U$5:$U$204,1)&gt;0,Listas!$B$13&lt;&gt;"OK"),"n.a.",SUMIFS(Lotes!$J$5:$J$204,Lotes!$B$5:$B$204,A191)))</x:f>
      </x:c>
      <x:c r="J191" s="174" t="str">
        <x:f>IF(A191="","",IF(OR(P191&lt;&gt;"",COUNTIFS(Lotes!$B$5:$B$204,A191,Lotes!$U$5:$U$204,1)&gt;0,Listas!$B$13&lt;&gt;"OK"),"n.a.",SUMIFS(Lotes!$L$5:$L$204,Lotes!$B$5:$B$204,A191)))</x:f>
      </x:c>
      <x:c r="K191" s="173" t="str">
        <x:f>IF(A191="","",IF(OR(P191&lt;&gt;"",COUNTIFS(Lotes!$B$5:$B$204,A191,Lotes!$U$5:$U$204,1)&gt;0,Listas!$B$13&lt;&gt;"OK"),"n.a.",COUNTIFS(Lotes!$B$5:$B$204,A191,Lotes!$J$5:$J$204,"&gt;0")))</x:f>
      </x:c>
      <x:c r="L191" s="173" t="str">
        <x:f>IF(A191="","",IF(OR(P191&lt;&gt;"",COUNTIFS(Lotes!$B$5:$B$204,A191,Lotes!$U$5:$U$204,1)&gt;0,Listas!$B$13&lt;&gt;"OK"),"n.a.",COUNTIFS(Lotes!$B$5:$B$204,A191,Lotes!$J$5:$J$204,"&gt;0",Lotes!$N$5:$N$204,"VENCIDO")))</x:f>
      </x:c>
      <x:c r="M191" s="173" t="str">
        <x:f>IF(A191="","",IF(OR(P191&lt;&gt;"",COUNTIFS(Lotes!$B$5:$B$204,A191,Lotes!$U$5:$U$204,1)&gt;0,Listas!$B$13&lt;&gt;"OK"),"n.a.",COUNTIFS(Lotes!$B$5:$B$204,A191,Lotes!$J$5:$J$204,"&gt;0",Lotes!$N$5:$N$204,"CRÍTICO")+COUNTIFS(Lotes!$B$5:$B$204,A191,Lotes!$J$5:$J$204,"&gt;0",Lotes!$N$5:$N$204,"VENCE NA JANELA")))</x:f>
      </x:c>
      <x:c r="N191" s="173" t="str">
        <x:f>IF(A191="","",IF(OR(P191&lt;&gt;"",COUNTIFS(Lotes!$B$5:$B$204,A191,Lotes!$U$5:$U$204,1)&gt;0,Listas!$B$13&lt;&gt;"OK"),"REVISAR DADOS",IF(H191="Inativo","INATIVO",IF(Q191&lt;=F191,"REPOR","OK"))))</x:f>
      </x:c>
      <x:c r="O191" s="27"/>
      <x:c r="P191" s="163" t="str">
        <x:f>IF(COUNTA(A191:H191,O191)=0,"",IF(OR(A191="",COUNTIFS($A$5:$A$204,A191)&lt;&gt;1),"SKU ausente ou duplicado",IF(OR(B191="",D191=""),"Produto ou unidade ausente",IF(OR(NOT(ISNUMBER(F191)),F191&lt;0,NOT(ISNUMBER(G191)),G191&lt;0),"Mínimo ou custo inválido",IF(AND(H191&lt;&gt;"Ativo",H191&lt;&gt;"Inativo"),"Status de produto inválido","")))))</x:f>
      </x:c>
      <x:c r="Q191" s="163" t="str">
        <x:f>IF(A191="","",IF(OR(P191&lt;&gt;"",COUNTIFS(Lotes!$B$5:$B$204,A191,Lotes!$U$5:$U$204,1)&gt;0,Listas!$B$13&lt;&gt;"OK"),"n.a.",SUMIFS(Lotes!$V$5:$V$204,Lotes!$B$5:$B$204,A191)))</x:f>
      </x:c>
      <x:c r="R191" s="163" t="n">
        <x:f>IF(P191="",0,1)</x:f>
        <x:v>0</x:v>
      </x:c>
      <x:c r="S191" s="163" t="n">
        <x:f>IF(COUNTA(A191:H191,O191)=0,0,IF(OR(Listas!$B$19="Todos",A191=Listas!$B$19,A191=""),1,0))</x:f>
        <x:v>0</x:v>
      </x:c>
      <x:c r="T191" s="163" t="n">
        <x:f>IF(S191=1,COUNTIFS($S$5:S191,1),0)</x:f>
        <x:v>0</x:v>
      </x:c>
      <x:c r="U191" s="1"/>
      <x:c r="V191" s="1"/>
      <x:c r="W191" s="1"/>
    </x:row>
    <x:row r="192" ht="32" customHeight="1">
      <x:c r="A192" s="170"/>
      <x:c r="B192" s="170"/>
      <x:c r="C192" s="170"/>
      <x:c r="D192" s="170"/>
      <x:c r="E192" s="170"/>
      <x:c r="F192" s="171"/>
      <x:c r="G192" s="172"/>
      <x:c r="H192" s="170"/>
      <x:c r="I192" s="173" t="str">
        <x:f>IF(A192="","",IF(OR(P192&lt;&gt;"",COUNTIFS(Lotes!$B$5:$B$204,A192,Lotes!$U$5:$U$204,1)&gt;0,Listas!$B$13&lt;&gt;"OK"),"n.a.",SUMIFS(Lotes!$J$5:$J$204,Lotes!$B$5:$B$204,A192)))</x:f>
      </x:c>
      <x:c r="J192" s="174" t="str">
        <x:f>IF(A192="","",IF(OR(P192&lt;&gt;"",COUNTIFS(Lotes!$B$5:$B$204,A192,Lotes!$U$5:$U$204,1)&gt;0,Listas!$B$13&lt;&gt;"OK"),"n.a.",SUMIFS(Lotes!$L$5:$L$204,Lotes!$B$5:$B$204,A192)))</x:f>
      </x:c>
      <x:c r="K192" s="173" t="str">
        <x:f>IF(A192="","",IF(OR(P192&lt;&gt;"",COUNTIFS(Lotes!$B$5:$B$204,A192,Lotes!$U$5:$U$204,1)&gt;0,Listas!$B$13&lt;&gt;"OK"),"n.a.",COUNTIFS(Lotes!$B$5:$B$204,A192,Lotes!$J$5:$J$204,"&gt;0")))</x:f>
      </x:c>
      <x:c r="L192" s="173" t="str">
        <x:f>IF(A192="","",IF(OR(P192&lt;&gt;"",COUNTIFS(Lotes!$B$5:$B$204,A192,Lotes!$U$5:$U$204,1)&gt;0,Listas!$B$13&lt;&gt;"OK"),"n.a.",COUNTIFS(Lotes!$B$5:$B$204,A192,Lotes!$J$5:$J$204,"&gt;0",Lotes!$N$5:$N$204,"VENCIDO")))</x:f>
      </x:c>
      <x:c r="M192" s="173" t="str">
        <x:f>IF(A192="","",IF(OR(P192&lt;&gt;"",COUNTIFS(Lotes!$B$5:$B$204,A192,Lotes!$U$5:$U$204,1)&gt;0,Listas!$B$13&lt;&gt;"OK"),"n.a.",COUNTIFS(Lotes!$B$5:$B$204,A192,Lotes!$J$5:$J$204,"&gt;0",Lotes!$N$5:$N$204,"CRÍTICO")+COUNTIFS(Lotes!$B$5:$B$204,A192,Lotes!$J$5:$J$204,"&gt;0",Lotes!$N$5:$N$204,"VENCE NA JANELA")))</x:f>
      </x:c>
      <x:c r="N192" s="173" t="str">
        <x:f>IF(A192="","",IF(OR(P192&lt;&gt;"",COUNTIFS(Lotes!$B$5:$B$204,A192,Lotes!$U$5:$U$204,1)&gt;0,Listas!$B$13&lt;&gt;"OK"),"REVISAR DADOS",IF(H192="Inativo","INATIVO",IF(Q192&lt;=F192,"REPOR","OK"))))</x:f>
      </x:c>
      <x:c r="O192" s="27"/>
      <x:c r="P192" s="163" t="str">
        <x:f>IF(COUNTA(A192:H192,O192)=0,"",IF(OR(A192="",COUNTIFS($A$5:$A$204,A192)&lt;&gt;1),"SKU ausente ou duplicado",IF(OR(B192="",D192=""),"Produto ou unidade ausente",IF(OR(NOT(ISNUMBER(F192)),F192&lt;0,NOT(ISNUMBER(G192)),G192&lt;0),"Mínimo ou custo inválido",IF(AND(H192&lt;&gt;"Ativo",H192&lt;&gt;"Inativo"),"Status de produto inválido","")))))</x:f>
      </x:c>
      <x:c r="Q192" s="163" t="str">
        <x:f>IF(A192="","",IF(OR(P192&lt;&gt;"",COUNTIFS(Lotes!$B$5:$B$204,A192,Lotes!$U$5:$U$204,1)&gt;0,Listas!$B$13&lt;&gt;"OK"),"n.a.",SUMIFS(Lotes!$V$5:$V$204,Lotes!$B$5:$B$204,A192)))</x:f>
      </x:c>
      <x:c r="R192" s="163" t="n">
        <x:f>IF(P192="",0,1)</x:f>
        <x:v>0</x:v>
      </x:c>
      <x:c r="S192" s="163" t="n">
        <x:f>IF(COUNTA(A192:H192,O192)=0,0,IF(OR(Listas!$B$19="Todos",A192=Listas!$B$19,A192=""),1,0))</x:f>
        <x:v>0</x:v>
      </x:c>
      <x:c r="T192" s="163" t="n">
        <x:f>IF(S192=1,COUNTIFS($S$5:S192,1),0)</x:f>
        <x:v>0</x:v>
      </x:c>
      <x:c r="U192" s="1"/>
      <x:c r="V192" s="1"/>
      <x:c r="W192" s="1"/>
    </x:row>
    <x:row r="193" ht="32" customHeight="1">
      <x:c r="A193" s="170"/>
      <x:c r="B193" s="170"/>
      <x:c r="C193" s="170"/>
      <x:c r="D193" s="170"/>
      <x:c r="E193" s="170"/>
      <x:c r="F193" s="171"/>
      <x:c r="G193" s="172"/>
      <x:c r="H193" s="170"/>
      <x:c r="I193" s="173" t="str">
        <x:f>IF(A193="","",IF(OR(P193&lt;&gt;"",COUNTIFS(Lotes!$B$5:$B$204,A193,Lotes!$U$5:$U$204,1)&gt;0,Listas!$B$13&lt;&gt;"OK"),"n.a.",SUMIFS(Lotes!$J$5:$J$204,Lotes!$B$5:$B$204,A193)))</x:f>
      </x:c>
      <x:c r="J193" s="174" t="str">
        <x:f>IF(A193="","",IF(OR(P193&lt;&gt;"",COUNTIFS(Lotes!$B$5:$B$204,A193,Lotes!$U$5:$U$204,1)&gt;0,Listas!$B$13&lt;&gt;"OK"),"n.a.",SUMIFS(Lotes!$L$5:$L$204,Lotes!$B$5:$B$204,A193)))</x:f>
      </x:c>
      <x:c r="K193" s="173" t="str">
        <x:f>IF(A193="","",IF(OR(P193&lt;&gt;"",COUNTIFS(Lotes!$B$5:$B$204,A193,Lotes!$U$5:$U$204,1)&gt;0,Listas!$B$13&lt;&gt;"OK"),"n.a.",COUNTIFS(Lotes!$B$5:$B$204,A193,Lotes!$J$5:$J$204,"&gt;0")))</x:f>
      </x:c>
      <x:c r="L193" s="173" t="str">
        <x:f>IF(A193="","",IF(OR(P193&lt;&gt;"",COUNTIFS(Lotes!$B$5:$B$204,A193,Lotes!$U$5:$U$204,1)&gt;0,Listas!$B$13&lt;&gt;"OK"),"n.a.",COUNTIFS(Lotes!$B$5:$B$204,A193,Lotes!$J$5:$J$204,"&gt;0",Lotes!$N$5:$N$204,"VENCIDO")))</x:f>
      </x:c>
      <x:c r="M193" s="173" t="str">
        <x:f>IF(A193="","",IF(OR(P193&lt;&gt;"",COUNTIFS(Lotes!$B$5:$B$204,A193,Lotes!$U$5:$U$204,1)&gt;0,Listas!$B$13&lt;&gt;"OK"),"n.a.",COUNTIFS(Lotes!$B$5:$B$204,A193,Lotes!$J$5:$J$204,"&gt;0",Lotes!$N$5:$N$204,"CRÍTICO")+COUNTIFS(Lotes!$B$5:$B$204,A193,Lotes!$J$5:$J$204,"&gt;0",Lotes!$N$5:$N$204,"VENCE NA JANELA")))</x:f>
      </x:c>
      <x:c r="N193" s="173" t="str">
        <x:f>IF(A193="","",IF(OR(P193&lt;&gt;"",COUNTIFS(Lotes!$B$5:$B$204,A193,Lotes!$U$5:$U$204,1)&gt;0,Listas!$B$13&lt;&gt;"OK"),"REVISAR DADOS",IF(H193="Inativo","INATIVO",IF(Q193&lt;=F193,"REPOR","OK"))))</x:f>
      </x:c>
      <x:c r="O193" s="27"/>
      <x:c r="P193" s="163" t="str">
        <x:f>IF(COUNTA(A193:H193,O193)=0,"",IF(OR(A193="",COUNTIFS($A$5:$A$204,A193)&lt;&gt;1),"SKU ausente ou duplicado",IF(OR(B193="",D193=""),"Produto ou unidade ausente",IF(OR(NOT(ISNUMBER(F193)),F193&lt;0,NOT(ISNUMBER(G193)),G193&lt;0),"Mínimo ou custo inválido",IF(AND(H193&lt;&gt;"Ativo",H193&lt;&gt;"Inativo"),"Status de produto inválido","")))))</x:f>
      </x:c>
      <x:c r="Q193" s="163" t="str">
        <x:f>IF(A193="","",IF(OR(P193&lt;&gt;"",COUNTIFS(Lotes!$B$5:$B$204,A193,Lotes!$U$5:$U$204,1)&gt;0,Listas!$B$13&lt;&gt;"OK"),"n.a.",SUMIFS(Lotes!$V$5:$V$204,Lotes!$B$5:$B$204,A193)))</x:f>
      </x:c>
      <x:c r="R193" s="163" t="n">
        <x:f>IF(P193="",0,1)</x:f>
        <x:v>0</x:v>
      </x:c>
      <x:c r="S193" s="163" t="n">
        <x:f>IF(COUNTA(A193:H193,O193)=0,0,IF(OR(Listas!$B$19="Todos",A193=Listas!$B$19,A193=""),1,0))</x:f>
        <x:v>0</x:v>
      </x:c>
      <x:c r="T193" s="163" t="n">
        <x:f>IF(S193=1,COUNTIFS($S$5:S193,1),0)</x:f>
        <x:v>0</x:v>
      </x:c>
      <x:c r="U193" s="1"/>
      <x:c r="V193" s="1"/>
      <x:c r="W193" s="1"/>
    </x:row>
    <x:row r="194" ht="32" customHeight="1">
      <x:c r="A194" s="170"/>
      <x:c r="B194" s="170"/>
      <x:c r="C194" s="170"/>
      <x:c r="D194" s="170"/>
      <x:c r="E194" s="170"/>
      <x:c r="F194" s="171"/>
      <x:c r="G194" s="172"/>
      <x:c r="H194" s="170"/>
      <x:c r="I194" s="173" t="str">
        <x:f>IF(A194="","",IF(OR(P194&lt;&gt;"",COUNTIFS(Lotes!$B$5:$B$204,A194,Lotes!$U$5:$U$204,1)&gt;0,Listas!$B$13&lt;&gt;"OK"),"n.a.",SUMIFS(Lotes!$J$5:$J$204,Lotes!$B$5:$B$204,A194)))</x:f>
      </x:c>
      <x:c r="J194" s="174" t="str">
        <x:f>IF(A194="","",IF(OR(P194&lt;&gt;"",COUNTIFS(Lotes!$B$5:$B$204,A194,Lotes!$U$5:$U$204,1)&gt;0,Listas!$B$13&lt;&gt;"OK"),"n.a.",SUMIFS(Lotes!$L$5:$L$204,Lotes!$B$5:$B$204,A194)))</x:f>
      </x:c>
      <x:c r="K194" s="173" t="str">
        <x:f>IF(A194="","",IF(OR(P194&lt;&gt;"",COUNTIFS(Lotes!$B$5:$B$204,A194,Lotes!$U$5:$U$204,1)&gt;0,Listas!$B$13&lt;&gt;"OK"),"n.a.",COUNTIFS(Lotes!$B$5:$B$204,A194,Lotes!$J$5:$J$204,"&gt;0")))</x:f>
      </x:c>
      <x:c r="L194" s="173" t="str">
        <x:f>IF(A194="","",IF(OR(P194&lt;&gt;"",COUNTIFS(Lotes!$B$5:$B$204,A194,Lotes!$U$5:$U$204,1)&gt;0,Listas!$B$13&lt;&gt;"OK"),"n.a.",COUNTIFS(Lotes!$B$5:$B$204,A194,Lotes!$J$5:$J$204,"&gt;0",Lotes!$N$5:$N$204,"VENCIDO")))</x:f>
      </x:c>
      <x:c r="M194" s="173" t="str">
        <x:f>IF(A194="","",IF(OR(P194&lt;&gt;"",COUNTIFS(Lotes!$B$5:$B$204,A194,Lotes!$U$5:$U$204,1)&gt;0,Listas!$B$13&lt;&gt;"OK"),"n.a.",COUNTIFS(Lotes!$B$5:$B$204,A194,Lotes!$J$5:$J$204,"&gt;0",Lotes!$N$5:$N$204,"CRÍTICO")+COUNTIFS(Lotes!$B$5:$B$204,A194,Lotes!$J$5:$J$204,"&gt;0",Lotes!$N$5:$N$204,"VENCE NA JANELA")))</x:f>
      </x:c>
      <x:c r="N194" s="173" t="str">
        <x:f>IF(A194="","",IF(OR(P194&lt;&gt;"",COUNTIFS(Lotes!$B$5:$B$204,A194,Lotes!$U$5:$U$204,1)&gt;0,Listas!$B$13&lt;&gt;"OK"),"REVISAR DADOS",IF(H194="Inativo","INATIVO",IF(Q194&lt;=F194,"REPOR","OK"))))</x:f>
      </x:c>
      <x:c r="O194" s="27"/>
      <x:c r="P194" s="163" t="str">
        <x:f>IF(COUNTA(A194:H194,O194)=0,"",IF(OR(A194="",COUNTIFS($A$5:$A$204,A194)&lt;&gt;1),"SKU ausente ou duplicado",IF(OR(B194="",D194=""),"Produto ou unidade ausente",IF(OR(NOT(ISNUMBER(F194)),F194&lt;0,NOT(ISNUMBER(G194)),G194&lt;0),"Mínimo ou custo inválido",IF(AND(H194&lt;&gt;"Ativo",H194&lt;&gt;"Inativo"),"Status de produto inválido","")))))</x:f>
      </x:c>
      <x:c r="Q194" s="163" t="str">
        <x:f>IF(A194="","",IF(OR(P194&lt;&gt;"",COUNTIFS(Lotes!$B$5:$B$204,A194,Lotes!$U$5:$U$204,1)&gt;0,Listas!$B$13&lt;&gt;"OK"),"n.a.",SUMIFS(Lotes!$V$5:$V$204,Lotes!$B$5:$B$204,A194)))</x:f>
      </x:c>
      <x:c r="R194" s="163" t="n">
        <x:f>IF(P194="",0,1)</x:f>
        <x:v>0</x:v>
      </x:c>
      <x:c r="S194" s="163" t="n">
        <x:f>IF(COUNTA(A194:H194,O194)=0,0,IF(OR(Listas!$B$19="Todos",A194=Listas!$B$19,A194=""),1,0))</x:f>
        <x:v>0</x:v>
      </x:c>
      <x:c r="T194" s="163" t="n">
        <x:f>IF(S194=1,COUNTIFS($S$5:S194,1),0)</x:f>
        <x:v>0</x:v>
      </x:c>
      <x:c r="U194" s="1"/>
      <x:c r="V194" s="1"/>
      <x:c r="W194" s="1"/>
    </x:row>
    <x:row r="195" ht="32" customHeight="1">
      <x:c r="A195" s="170"/>
      <x:c r="B195" s="170"/>
      <x:c r="C195" s="170"/>
      <x:c r="D195" s="170"/>
      <x:c r="E195" s="170"/>
      <x:c r="F195" s="171"/>
      <x:c r="G195" s="172"/>
      <x:c r="H195" s="170"/>
      <x:c r="I195" s="173" t="str">
        <x:f>IF(A195="","",IF(OR(P195&lt;&gt;"",COUNTIFS(Lotes!$B$5:$B$204,A195,Lotes!$U$5:$U$204,1)&gt;0,Listas!$B$13&lt;&gt;"OK"),"n.a.",SUMIFS(Lotes!$J$5:$J$204,Lotes!$B$5:$B$204,A195)))</x:f>
      </x:c>
      <x:c r="J195" s="174" t="str">
        <x:f>IF(A195="","",IF(OR(P195&lt;&gt;"",COUNTIFS(Lotes!$B$5:$B$204,A195,Lotes!$U$5:$U$204,1)&gt;0,Listas!$B$13&lt;&gt;"OK"),"n.a.",SUMIFS(Lotes!$L$5:$L$204,Lotes!$B$5:$B$204,A195)))</x:f>
      </x:c>
      <x:c r="K195" s="173" t="str">
        <x:f>IF(A195="","",IF(OR(P195&lt;&gt;"",COUNTIFS(Lotes!$B$5:$B$204,A195,Lotes!$U$5:$U$204,1)&gt;0,Listas!$B$13&lt;&gt;"OK"),"n.a.",COUNTIFS(Lotes!$B$5:$B$204,A195,Lotes!$J$5:$J$204,"&gt;0")))</x:f>
      </x:c>
      <x:c r="L195" s="173" t="str">
        <x:f>IF(A195="","",IF(OR(P195&lt;&gt;"",COUNTIFS(Lotes!$B$5:$B$204,A195,Lotes!$U$5:$U$204,1)&gt;0,Listas!$B$13&lt;&gt;"OK"),"n.a.",COUNTIFS(Lotes!$B$5:$B$204,A195,Lotes!$J$5:$J$204,"&gt;0",Lotes!$N$5:$N$204,"VENCIDO")))</x:f>
      </x:c>
      <x:c r="M195" s="173" t="str">
        <x:f>IF(A195="","",IF(OR(P195&lt;&gt;"",COUNTIFS(Lotes!$B$5:$B$204,A195,Lotes!$U$5:$U$204,1)&gt;0,Listas!$B$13&lt;&gt;"OK"),"n.a.",COUNTIFS(Lotes!$B$5:$B$204,A195,Lotes!$J$5:$J$204,"&gt;0",Lotes!$N$5:$N$204,"CRÍTICO")+COUNTIFS(Lotes!$B$5:$B$204,A195,Lotes!$J$5:$J$204,"&gt;0",Lotes!$N$5:$N$204,"VENCE NA JANELA")))</x:f>
      </x:c>
      <x:c r="N195" s="173" t="str">
        <x:f>IF(A195="","",IF(OR(P195&lt;&gt;"",COUNTIFS(Lotes!$B$5:$B$204,A195,Lotes!$U$5:$U$204,1)&gt;0,Listas!$B$13&lt;&gt;"OK"),"REVISAR DADOS",IF(H195="Inativo","INATIVO",IF(Q195&lt;=F195,"REPOR","OK"))))</x:f>
      </x:c>
      <x:c r="O195" s="27"/>
      <x:c r="P195" s="163" t="str">
        <x:f>IF(COUNTA(A195:H195,O195)=0,"",IF(OR(A195="",COUNTIFS($A$5:$A$204,A195)&lt;&gt;1),"SKU ausente ou duplicado",IF(OR(B195="",D195=""),"Produto ou unidade ausente",IF(OR(NOT(ISNUMBER(F195)),F195&lt;0,NOT(ISNUMBER(G195)),G195&lt;0),"Mínimo ou custo inválido",IF(AND(H195&lt;&gt;"Ativo",H195&lt;&gt;"Inativo"),"Status de produto inválido","")))))</x:f>
      </x:c>
      <x:c r="Q195" s="163" t="str">
        <x:f>IF(A195="","",IF(OR(P195&lt;&gt;"",COUNTIFS(Lotes!$B$5:$B$204,A195,Lotes!$U$5:$U$204,1)&gt;0,Listas!$B$13&lt;&gt;"OK"),"n.a.",SUMIFS(Lotes!$V$5:$V$204,Lotes!$B$5:$B$204,A195)))</x:f>
      </x:c>
      <x:c r="R195" s="163" t="n">
        <x:f>IF(P195="",0,1)</x:f>
        <x:v>0</x:v>
      </x:c>
      <x:c r="S195" s="163" t="n">
        <x:f>IF(COUNTA(A195:H195,O195)=0,0,IF(OR(Listas!$B$19="Todos",A195=Listas!$B$19,A195=""),1,0))</x:f>
        <x:v>0</x:v>
      </x:c>
      <x:c r="T195" s="163" t="n">
        <x:f>IF(S195=1,COUNTIFS($S$5:S195,1),0)</x:f>
        <x:v>0</x:v>
      </x:c>
      <x:c r="U195" s="1"/>
      <x:c r="V195" s="1"/>
      <x:c r="W195" s="1"/>
    </x:row>
    <x:row r="196" ht="32" customHeight="1">
      <x:c r="A196" s="170"/>
      <x:c r="B196" s="170"/>
      <x:c r="C196" s="170"/>
      <x:c r="D196" s="170"/>
      <x:c r="E196" s="170"/>
      <x:c r="F196" s="171"/>
      <x:c r="G196" s="172"/>
      <x:c r="H196" s="170"/>
      <x:c r="I196" s="173" t="str">
        <x:f>IF(A196="","",IF(OR(P196&lt;&gt;"",COUNTIFS(Lotes!$B$5:$B$204,A196,Lotes!$U$5:$U$204,1)&gt;0,Listas!$B$13&lt;&gt;"OK"),"n.a.",SUMIFS(Lotes!$J$5:$J$204,Lotes!$B$5:$B$204,A196)))</x:f>
      </x:c>
      <x:c r="J196" s="174" t="str">
        <x:f>IF(A196="","",IF(OR(P196&lt;&gt;"",COUNTIFS(Lotes!$B$5:$B$204,A196,Lotes!$U$5:$U$204,1)&gt;0,Listas!$B$13&lt;&gt;"OK"),"n.a.",SUMIFS(Lotes!$L$5:$L$204,Lotes!$B$5:$B$204,A196)))</x:f>
      </x:c>
      <x:c r="K196" s="173" t="str">
        <x:f>IF(A196="","",IF(OR(P196&lt;&gt;"",COUNTIFS(Lotes!$B$5:$B$204,A196,Lotes!$U$5:$U$204,1)&gt;0,Listas!$B$13&lt;&gt;"OK"),"n.a.",COUNTIFS(Lotes!$B$5:$B$204,A196,Lotes!$J$5:$J$204,"&gt;0")))</x:f>
      </x:c>
      <x:c r="L196" s="173" t="str">
        <x:f>IF(A196="","",IF(OR(P196&lt;&gt;"",COUNTIFS(Lotes!$B$5:$B$204,A196,Lotes!$U$5:$U$204,1)&gt;0,Listas!$B$13&lt;&gt;"OK"),"n.a.",COUNTIFS(Lotes!$B$5:$B$204,A196,Lotes!$J$5:$J$204,"&gt;0",Lotes!$N$5:$N$204,"VENCIDO")))</x:f>
      </x:c>
      <x:c r="M196" s="173" t="str">
        <x:f>IF(A196="","",IF(OR(P196&lt;&gt;"",COUNTIFS(Lotes!$B$5:$B$204,A196,Lotes!$U$5:$U$204,1)&gt;0,Listas!$B$13&lt;&gt;"OK"),"n.a.",COUNTIFS(Lotes!$B$5:$B$204,A196,Lotes!$J$5:$J$204,"&gt;0",Lotes!$N$5:$N$204,"CRÍTICO")+COUNTIFS(Lotes!$B$5:$B$204,A196,Lotes!$J$5:$J$204,"&gt;0",Lotes!$N$5:$N$204,"VENCE NA JANELA")))</x:f>
      </x:c>
      <x:c r="N196" s="173" t="str">
        <x:f>IF(A196="","",IF(OR(P196&lt;&gt;"",COUNTIFS(Lotes!$B$5:$B$204,A196,Lotes!$U$5:$U$204,1)&gt;0,Listas!$B$13&lt;&gt;"OK"),"REVISAR DADOS",IF(H196="Inativo","INATIVO",IF(Q196&lt;=F196,"REPOR","OK"))))</x:f>
      </x:c>
      <x:c r="O196" s="27"/>
      <x:c r="P196" s="163" t="str">
        <x:f>IF(COUNTA(A196:H196,O196)=0,"",IF(OR(A196="",COUNTIFS($A$5:$A$204,A196)&lt;&gt;1),"SKU ausente ou duplicado",IF(OR(B196="",D196=""),"Produto ou unidade ausente",IF(OR(NOT(ISNUMBER(F196)),F196&lt;0,NOT(ISNUMBER(G196)),G196&lt;0),"Mínimo ou custo inválido",IF(AND(H196&lt;&gt;"Ativo",H196&lt;&gt;"Inativo"),"Status de produto inválido","")))))</x:f>
      </x:c>
      <x:c r="Q196" s="163" t="str">
        <x:f>IF(A196="","",IF(OR(P196&lt;&gt;"",COUNTIFS(Lotes!$B$5:$B$204,A196,Lotes!$U$5:$U$204,1)&gt;0,Listas!$B$13&lt;&gt;"OK"),"n.a.",SUMIFS(Lotes!$V$5:$V$204,Lotes!$B$5:$B$204,A196)))</x:f>
      </x:c>
      <x:c r="R196" s="163" t="n">
        <x:f>IF(P196="",0,1)</x:f>
        <x:v>0</x:v>
      </x:c>
      <x:c r="S196" s="163" t="n">
        <x:f>IF(COUNTA(A196:H196,O196)=0,0,IF(OR(Listas!$B$19="Todos",A196=Listas!$B$19,A196=""),1,0))</x:f>
        <x:v>0</x:v>
      </x:c>
      <x:c r="T196" s="163" t="n">
        <x:f>IF(S196=1,COUNTIFS($S$5:S196,1),0)</x:f>
        <x:v>0</x:v>
      </x:c>
      <x:c r="U196" s="1"/>
      <x:c r="V196" s="1"/>
      <x:c r="W196" s="1"/>
    </x:row>
    <x:row r="197" ht="32" customHeight="1">
      <x:c r="A197" s="170"/>
      <x:c r="B197" s="170"/>
      <x:c r="C197" s="170"/>
      <x:c r="D197" s="170"/>
      <x:c r="E197" s="170"/>
      <x:c r="F197" s="171"/>
      <x:c r="G197" s="172"/>
      <x:c r="H197" s="170"/>
      <x:c r="I197" s="173" t="str">
        <x:f>IF(A197="","",IF(OR(P197&lt;&gt;"",COUNTIFS(Lotes!$B$5:$B$204,A197,Lotes!$U$5:$U$204,1)&gt;0,Listas!$B$13&lt;&gt;"OK"),"n.a.",SUMIFS(Lotes!$J$5:$J$204,Lotes!$B$5:$B$204,A197)))</x:f>
      </x:c>
      <x:c r="J197" s="174" t="str">
        <x:f>IF(A197="","",IF(OR(P197&lt;&gt;"",COUNTIFS(Lotes!$B$5:$B$204,A197,Lotes!$U$5:$U$204,1)&gt;0,Listas!$B$13&lt;&gt;"OK"),"n.a.",SUMIFS(Lotes!$L$5:$L$204,Lotes!$B$5:$B$204,A197)))</x:f>
      </x:c>
      <x:c r="K197" s="173" t="str">
        <x:f>IF(A197="","",IF(OR(P197&lt;&gt;"",COUNTIFS(Lotes!$B$5:$B$204,A197,Lotes!$U$5:$U$204,1)&gt;0,Listas!$B$13&lt;&gt;"OK"),"n.a.",COUNTIFS(Lotes!$B$5:$B$204,A197,Lotes!$J$5:$J$204,"&gt;0")))</x:f>
      </x:c>
      <x:c r="L197" s="173" t="str">
        <x:f>IF(A197="","",IF(OR(P197&lt;&gt;"",COUNTIFS(Lotes!$B$5:$B$204,A197,Lotes!$U$5:$U$204,1)&gt;0,Listas!$B$13&lt;&gt;"OK"),"n.a.",COUNTIFS(Lotes!$B$5:$B$204,A197,Lotes!$J$5:$J$204,"&gt;0",Lotes!$N$5:$N$204,"VENCIDO")))</x:f>
      </x:c>
      <x:c r="M197" s="173" t="str">
        <x:f>IF(A197="","",IF(OR(P197&lt;&gt;"",COUNTIFS(Lotes!$B$5:$B$204,A197,Lotes!$U$5:$U$204,1)&gt;0,Listas!$B$13&lt;&gt;"OK"),"n.a.",COUNTIFS(Lotes!$B$5:$B$204,A197,Lotes!$J$5:$J$204,"&gt;0",Lotes!$N$5:$N$204,"CRÍTICO")+COUNTIFS(Lotes!$B$5:$B$204,A197,Lotes!$J$5:$J$204,"&gt;0",Lotes!$N$5:$N$204,"VENCE NA JANELA")))</x:f>
      </x:c>
      <x:c r="N197" s="173" t="str">
        <x:f>IF(A197="","",IF(OR(P197&lt;&gt;"",COUNTIFS(Lotes!$B$5:$B$204,A197,Lotes!$U$5:$U$204,1)&gt;0,Listas!$B$13&lt;&gt;"OK"),"REVISAR DADOS",IF(H197="Inativo","INATIVO",IF(Q197&lt;=F197,"REPOR","OK"))))</x:f>
      </x:c>
      <x:c r="O197" s="27"/>
      <x:c r="P197" s="163" t="str">
        <x:f>IF(COUNTA(A197:H197,O197)=0,"",IF(OR(A197="",COUNTIFS($A$5:$A$204,A197)&lt;&gt;1),"SKU ausente ou duplicado",IF(OR(B197="",D197=""),"Produto ou unidade ausente",IF(OR(NOT(ISNUMBER(F197)),F197&lt;0,NOT(ISNUMBER(G197)),G197&lt;0),"Mínimo ou custo inválido",IF(AND(H197&lt;&gt;"Ativo",H197&lt;&gt;"Inativo"),"Status de produto inválido","")))))</x:f>
      </x:c>
      <x:c r="Q197" s="163" t="str">
        <x:f>IF(A197="","",IF(OR(P197&lt;&gt;"",COUNTIFS(Lotes!$B$5:$B$204,A197,Lotes!$U$5:$U$204,1)&gt;0,Listas!$B$13&lt;&gt;"OK"),"n.a.",SUMIFS(Lotes!$V$5:$V$204,Lotes!$B$5:$B$204,A197)))</x:f>
      </x:c>
      <x:c r="R197" s="163" t="n">
        <x:f>IF(P197="",0,1)</x:f>
        <x:v>0</x:v>
      </x:c>
      <x:c r="S197" s="163" t="n">
        <x:f>IF(COUNTA(A197:H197,O197)=0,0,IF(OR(Listas!$B$19="Todos",A197=Listas!$B$19,A197=""),1,0))</x:f>
        <x:v>0</x:v>
      </x:c>
      <x:c r="T197" s="163" t="n">
        <x:f>IF(S197=1,COUNTIFS($S$5:S197,1),0)</x:f>
        <x:v>0</x:v>
      </x:c>
      <x:c r="U197" s="1"/>
      <x:c r="V197" s="1"/>
      <x:c r="W197" s="1"/>
    </x:row>
    <x:row r="198" ht="32" customHeight="1">
      <x:c r="A198" s="170"/>
      <x:c r="B198" s="170"/>
      <x:c r="C198" s="170"/>
      <x:c r="D198" s="170"/>
      <x:c r="E198" s="170"/>
      <x:c r="F198" s="171"/>
      <x:c r="G198" s="172"/>
      <x:c r="H198" s="170"/>
      <x:c r="I198" s="173" t="str">
        <x:f>IF(A198="","",IF(OR(P198&lt;&gt;"",COUNTIFS(Lotes!$B$5:$B$204,A198,Lotes!$U$5:$U$204,1)&gt;0,Listas!$B$13&lt;&gt;"OK"),"n.a.",SUMIFS(Lotes!$J$5:$J$204,Lotes!$B$5:$B$204,A198)))</x:f>
      </x:c>
      <x:c r="J198" s="174" t="str">
        <x:f>IF(A198="","",IF(OR(P198&lt;&gt;"",COUNTIFS(Lotes!$B$5:$B$204,A198,Lotes!$U$5:$U$204,1)&gt;0,Listas!$B$13&lt;&gt;"OK"),"n.a.",SUMIFS(Lotes!$L$5:$L$204,Lotes!$B$5:$B$204,A198)))</x:f>
      </x:c>
      <x:c r="K198" s="173" t="str">
        <x:f>IF(A198="","",IF(OR(P198&lt;&gt;"",COUNTIFS(Lotes!$B$5:$B$204,A198,Lotes!$U$5:$U$204,1)&gt;0,Listas!$B$13&lt;&gt;"OK"),"n.a.",COUNTIFS(Lotes!$B$5:$B$204,A198,Lotes!$J$5:$J$204,"&gt;0")))</x:f>
      </x:c>
      <x:c r="L198" s="173" t="str">
        <x:f>IF(A198="","",IF(OR(P198&lt;&gt;"",COUNTIFS(Lotes!$B$5:$B$204,A198,Lotes!$U$5:$U$204,1)&gt;0,Listas!$B$13&lt;&gt;"OK"),"n.a.",COUNTIFS(Lotes!$B$5:$B$204,A198,Lotes!$J$5:$J$204,"&gt;0",Lotes!$N$5:$N$204,"VENCIDO")))</x:f>
      </x:c>
      <x:c r="M198" s="173" t="str">
        <x:f>IF(A198="","",IF(OR(P198&lt;&gt;"",COUNTIFS(Lotes!$B$5:$B$204,A198,Lotes!$U$5:$U$204,1)&gt;0,Listas!$B$13&lt;&gt;"OK"),"n.a.",COUNTIFS(Lotes!$B$5:$B$204,A198,Lotes!$J$5:$J$204,"&gt;0",Lotes!$N$5:$N$204,"CRÍTICO")+COUNTIFS(Lotes!$B$5:$B$204,A198,Lotes!$J$5:$J$204,"&gt;0",Lotes!$N$5:$N$204,"VENCE NA JANELA")))</x:f>
      </x:c>
      <x:c r="N198" s="173" t="str">
        <x:f>IF(A198="","",IF(OR(P198&lt;&gt;"",COUNTIFS(Lotes!$B$5:$B$204,A198,Lotes!$U$5:$U$204,1)&gt;0,Listas!$B$13&lt;&gt;"OK"),"REVISAR DADOS",IF(H198="Inativo","INATIVO",IF(Q198&lt;=F198,"REPOR","OK"))))</x:f>
      </x:c>
      <x:c r="O198" s="27"/>
      <x:c r="P198" s="163" t="str">
        <x:f>IF(COUNTA(A198:H198,O198)=0,"",IF(OR(A198="",COUNTIFS($A$5:$A$204,A198)&lt;&gt;1),"SKU ausente ou duplicado",IF(OR(B198="",D198=""),"Produto ou unidade ausente",IF(OR(NOT(ISNUMBER(F198)),F198&lt;0,NOT(ISNUMBER(G198)),G198&lt;0),"Mínimo ou custo inválido",IF(AND(H198&lt;&gt;"Ativo",H198&lt;&gt;"Inativo"),"Status de produto inválido","")))))</x:f>
      </x:c>
      <x:c r="Q198" s="163" t="str">
        <x:f>IF(A198="","",IF(OR(P198&lt;&gt;"",COUNTIFS(Lotes!$B$5:$B$204,A198,Lotes!$U$5:$U$204,1)&gt;0,Listas!$B$13&lt;&gt;"OK"),"n.a.",SUMIFS(Lotes!$V$5:$V$204,Lotes!$B$5:$B$204,A198)))</x:f>
      </x:c>
      <x:c r="R198" s="163" t="n">
        <x:f>IF(P198="",0,1)</x:f>
        <x:v>0</x:v>
      </x:c>
      <x:c r="S198" s="163" t="n">
        <x:f>IF(COUNTA(A198:H198,O198)=0,0,IF(OR(Listas!$B$19="Todos",A198=Listas!$B$19,A198=""),1,0))</x:f>
        <x:v>0</x:v>
      </x:c>
      <x:c r="T198" s="163" t="n">
        <x:f>IF(S198=1,COUNTIFS($S$5:S198,1),0)</x:f>
        <x:v>0</x:v>
      </x:c>
      <x:c r="U198" s="1"/>
      <x:c r="V198" s="1"/>
      <x:c r="W198" s="1"/>
    </x:row>
    <x:row r="199" ht="32" customHeight="1">
      <x:c r="A199" s="170"/>
      <x:c r="B199" s="170"/>
      <x:c r="C199" s="170"/>
      <x:c r="D199" s="170"/>
      <x:c r="E199" s="170"/>
      <x:c r="F199" s="171"/>
      <x:c r="G199" s="172"/>
      <x:c r="H199" s="170"/>
      <x:c r="I199" s="173" t="str">
        <x:f>IF(A199="","",IF(OR(P199&lt;&gt;"",COUNTIFS(Lotes!$B$5:$B$204,A199,Lotes!$U$5:$U$204,1)&gt;0,Listas!$B$13&lt;&gt;"OK"),"n.a.",SUMIFS(Lotes!$J$5:$J$204,Lotes!$B$5:$B$204,A199)))</x:f>
      </x:c>
      <x:c r="J199" s="174" t="str">
        <x:f>IF(A199="","",IF(OR(P199&lt;&gt;"",COUNTIFS(Lotes!$B$5:$B$204,A199,Lotes!$U$5:$U$204,1)&gt;0,Listas!$B$13&lt;&gt;"OK"),"n.a.",SUMIFS(Lotes!$L$5:$L$204,Lotes!$B$5:$B$204,A199)))</x:f>
      </x:c>
      <x:c r="K199" s="173" t="str">
        <x:f>IF(A199="","",IF(OR(P199&lt;&gt;"",COUNTIFS(Lotes!$B$5:$B$204,A199,Lotes!$U$5:$U$204,1)&gt;0,Listas!$B$13&lt;&gt;"OK"),"n.a.",COUNTIFS(Lotes!$B$5:$B$204,A199,Lotes!$J$5:$J$204,"&gt;0")))</x:f>
      </x:c>
      <x:c r="L199" s="173" t="str">
        <x:f>IF(A199="","",IF(OR(P199&lt;&gt;"",COUNTIFS(Lotes!$B$5:$B$204,A199,Lotes!$U$5:$U$204,1)&gt;0,Listas!$B$13&lt;&gt;"OK"),"n.a.",COUNTIFS(Lotes!$B$5:$B$204,A199,Lotes!$J$5:$J$204,"&gt;0",Lotes!$N$5:$N$204,"VENCIDO")))</x:f>
      </x:c>
      <x:c r="M199" s="173" t="str">
        <x:f>IF(A199="","",IF(OR(P199&lt;&gt;"",COUNTIFS(Lotes!$B$5:$B$204,A199,Lotes!$U$5:$U$204,1)&gt;0,Listas!$B$13&lt;&gt;"OK"),"n.a.",COUNTIFS(Lotes!$B$5:$B$204,A199,Lotes!$J$5:$J$204,"&gt;0",Lotes!$N$5:$N$204,"CRÍTICO")+COUNTIFS(Lotes!$B$5:$B$204,A199,Lotes!$J$5:$J$204,"&gt;0",Lotes!$N$5:$N$204,"VENCE NA JANELA")))</x:f>
      </x:c>
      <x:c r="N199" s="173" t="str">
        <x:f>IF(A199="","",IF(OR(P199&lt;&gt;"",COUNTIFS(Lotes!$B$5:$B$204,A199,Lotes!$U$5:$U$204,1)&gt;0,Listas!$B$13&lt;&gt;"OK"),"REVISAR DADOS",IF(H199="Inativo","INATIVO",IF(Q199&lt;=F199,"REPOR","OK"))))</x:f>
      </x:c>
      <x:c r="O199" s="27"/>
      <x:c r="P199" s="163" t="str">
        <x:f>IF(COUNTA(A199:H199,O199)=0,"",IF(OR(A199="",COUNTIFS($A$5:$A$204,A199)&lt;&gt;1),"SKU ausente ou duplicado",IF(OR(B199="",D199=""),"Produto ou unidade ausente",IF(OR(NOT(ISNUMBER(F199)),F199&lt;0,NOT(ISNUMBER(G199)),G199&lt;0),"Mínimo ou custo inválido",IF(AND(H199&lt;&gt;"Ativo",H199&lt;&gt;"Inativo"),"Status de produto inválido","")))))</x:f>
      </x:c>
      <x:c r="Q199" s="163" t="str">
        <x:f>IF(A199="","",IF(OR(P199&lt;&gt;"",COUNTIFS(Lotes!$B$5:$B$204,A199,Lotes!$U$5:$U$204,1)&gt;0,Listas!$B$13&lt;&gt;"OK"),"n.a.",SUMIFS(Lotes!$V$5:$V$204,Lotes!$B$5:$B$204,A199)))</x:f>
      </x:c>
      <x:c r="R199" s="163" t="n">
        <x:f>IF(P199="",0,1)</x:f>
        <x:v>0</x:v>
      </x:c>
      <x:c r="S199" s="163" t="n">
        <x:f>IF(COUNTA(A199:H199,O199)=0,0,IF(OR(Listas!$B$19="Todos",A199=Listas!$B$19,A199=""),1,0))</x:f>
        <x:v>0</x:v>
      </x:c>
      <x:c r="T199" s="163" t="n">
        <x:f>IF(S199=1,COUNTIFS($S$5:S199,1),0)</x:f>
        <x:v>0</x:v>
      </x:c>
      <x:c r="U199" s="1"/>
      <x:c r="V199" s="1"/>
      <x:c r="W199" s="1"/>
    </x:row>
    <x:row r="200" ht="32" customHeight="1">
      <x:c r="A200" s="170"/>
      <x:c r="B200" s="170"/>
      <x:c r="C200" s="170"/>
      <x:c r="D200" s="170"/>
      <x:c r="E200" s="170"/>
      <x:c r="F200" s="171"/>
      <x:c r="G200" s="172"/>
      <x:c r="H200" s="170"/>
      <x:c r="I200" s="173" t="str">
        <x:f>IF(A200="","",IF(OR(P200&lt;&gt;"",COUNTIFS(Lotes!$B$5:$B$204,A200,Lotes!$U$5:$U$204,1)&gt;0,Listas!$B$13&lt;&gt;"OK"),"n.a.",SUMIFS(Lotes!$J$5:$J$204,Lotes!$B$5:$B$204,A200)))</x:f>
      </x:c>
      <x:c r="J200" s="174" t="str">
        <x:f>IF(A200="","",IF(OR(P200&lt;&gt;"",COUNTIFS(Lotes!$B$5:$B$204,A200,Lotes!$U$5:$U$204,1)&gt;0,Listas!$B$13&lt;&gt;"OK"),"n.a.",SUMIFS(Lotes!$L$5:$L$204,Lotes!$B$5:$B$204,A200)))</x:f>
      </x:c>
      <x:c r="K200" s="173" t="str">
        <x:f>IF(A200="","",IF(OR(P200&lt;&gt;"",COUNTIFS(Lotes!$B$5:$B$204,A200,Lotes!$U$5:$U$204,1)&gt;0,Listas!$B$13&lt;&gt;"OK"),"n.a.",COUNTIFS(Lotes!$B$5:$B$204,A200,Lotes!$J$5:$J$204,"&gt;0")))</x:f>
      </x:c>
      <x:c r="L200" s="173" t="str">
        <x:f>IF(A200="","",IF(OR(P200&lt;&gt;"",COUNTIFS(Lotes!$B$5:$B$204,A200,Lotes!$U$5:$U$204,1)&gt;0,Listas!$B$13&lt;&gt;"OK"),"n.a.",COUNTIFS(Lotes!$B$5:$B$204,A200,Lotes!$J$5:$J$204,"&gt;0",Lotes!$N$5:$N$204,"VENCIDO")))</x:f>
      </x:c>
      <x:c r="M200" s="173" t="str">
        <x:f>IF(A200="","",IF(OR(P200&lt;&gt;"",COUNTIFS(Lotes!$B$5:$B$204,A200,Lotes!$U$5:$U$204,1)&gt;0,Listas!$B$13&lt;&gt;"OK"),"n.a.",COUNTIFS(Lotes!$B$5:$B$204,A200,Lotes!$J$5:$J$204,"&gt;0",Lotes!$N$5:$N$204,"CRÍTICO")+COUNTIFS(Lotes!$B$5:$B$204,A200,Lotes!$J$5:$J$204,"&gt;0",Lotes!$N$5:$N$204,"VENCE NA JANELA")))</x:f>
      </x:c>
      <x:c r="N200" s="173" t="str">
        <x:f>IF(A200="","",IF(OR(P200&lt;&gt;"",COUNTIFS(Lotes!$B$5:$B$204,A200,Lotes!$U$5:$U$204,1)&gt;0,Listas!$B$13&lt;&gt;"OK"),"REVISAR DADOS",IF(H200="Inativo","INATIVO",IF(Q200&lt;=F200,"REPOR","OK"))))</x:f>
      </x:c>
      <x:c r="O200" s="27"/>
      <x:c r="P200" s="163" t="str">
        <x:f>IF(COUNTA(A200:H200,O200)=0,"",IF(OR(A200="",COUNTIFS($A$5:$A$204,A200)&lt;&gt;1),"SKU ausente ou duplicado",IF(OR(B200="",D200=""),"Produto ou unidade ausente",IF(OR(NOT(ISNUMBER(F200)),F200&lt;0,NOT(ISNUMBER(G200)),G200&lt;0),"Mínimo ou custo inválido",IF(AND(H200&lt;&gt;"Ativo",H200&lt;&gt;"Inativo"),"Status de produto inválido","")))))</x:f>
      </x:c>
      <x:c r="Q200" s="163" t="str">
        <x:f>IF(A200="","",IF(OR(P200&lt;&gt;"",COUNTIFS(Lotes!$B$5:$B$204,A200,Lotes!$U$5:$U$204,1)&gt;0,Listas!$B$13&lt;&gt;"OK"),"n.a.",SUMIFS(Lotes!$V$5:$V$204,Lotes!$B$5:$B$204,A200)))</x:f>
      </x:c>
      <x:c r="R200" s="163" t="n">
        <x:f>IF(P200="",0,1)</x:f>
        <x:v>0</x:v>
      </x:c>
      <x:c r="S200" s="163" t="n">
        <x:f>IF(COUNTA(A200:H200,O200)=0,0,IF(OR(Listas!$B$19="Todos",A200=Listas!$B$19,A200=""),1,0))</x:f>
        <x:v>0</x:v>
      </x:c>
      <x:c r="T200" s="163" t="n">
        <x:f>IF(S200=1,COUNTIFS($S$5:S200,1),0)</x:f>
        <x:v>0</x:v>
      </x:c>
      <x:c r="U200" s="1"/>
      <x:c r="V200" s="1"/>
      <x:c r="W200" s="1"/>
    </x:row>
    <x:row r="201" ht="32" customHeight="1">
      <x:c r="A201" s="170"/>
      <x:c r="B201" s="170"/>
      <x:c r="C201" s="170"/>
      <x:c r="D201" s="170"/>
      <x:c r="E201" s="170"/>
      <x:c r="F201" s="171"/>
      <x:c r="G201" s="172"/>
      <x:c r="H201" s="170"/>
      <x:c r="I201" s="173" t="str">
        <x:f>IF(A201="","",IF(OR(P201&lt;&gt;"",COUNTIFS(Lotes!$B$5:$B$204,A201,Lotes!$U$5:$U$204,1)&gt;0,Listas!$B$13&lt;&gt;"OK"),"n.a.",SUMIFS(Lotes!$J$5:$J$204,Lotes!$B$5:$B$204,A201)))</x:f>
      </x:c>
      <x:c r="J201" s="174" t="str">
        <x:f>IF(A201="","",IF(OR(P201&lt;&gt;"",COUNTIFS(Lotes!$B$5:$B$204,A201,Lotes!$U$5:$U$204,1)&gt;0,Listas!$B$13&lt;&gt;"OK"),"n.a.",SUMIFS(Lotes!$L$5:$L$204,Lotes!$B$5:$B$204,A201)))</x:f>
      </x:c>
      <x:c r="K201" s="173" t="str">
        <x:f>IF(A201="","",IF(OR(P201&lt;&gt;"",COUNTIFS(Lotes!$B$5:$B$204,A201,Lotes!$U$5:$U$204,1)&gt;0,Listas!$B$13&lt;&gt;"OK"),"n.a.",COUNTIFS(Lotes!$B$5:$B$204,A201,Lotes!$J$5:$J$204,"&gt;0")))</x:f>
      </x:c>
      <x:c r="L201" s="173" t="str">
        <x:f>IF(A201="","",IF(OR(P201&lt;&gt;"",COUNTIFS(Lotes!$B$5:$B$204,A201,Lotes!$U$5:$U$204,1)&gt;0,Listas!$B$13&lt;&gt;"OK"),"n.a.",COUNTIFS(Lotes!$B$5:$B$204,A201,Lotes!$J$5:$J$204,"&gt;0",Lotes!$N$5:$N$204,"VENCIDO")))</x:f>
      </x:c>
      <x:c r="M201" s="173" t="str">
        <x:f>IF(A201="","",IF(OR(P201&lt;&gt;"",COUNTIFS(Lotes!$B$5:$B$204,A201,Lotes!$U$5:$U$204,1)&gt;0,Listas!$B$13&lt;&gt;"OK"),"n.a.",COUNTIFS(Lotes!$B$5:$B$204,A201,Lotes!$J$5:$J$204,"&gt;0",Lotes!$N$5:$N$204,"CRÍTICO")+COUNTIFS(Lotes!$B$5:$B$204,A201,Lotes!$J$5:$J$204,"&gt;0",Lotes!$N$5:$N$204,"VENCE NA JANELA")))</x:f>
      </x:c>
      <x:c r="N201" s="173" t="str">
        <x:f>IF(A201="","",IF(OR(P201&lt;&gt;"",COUNTIFS(Lotes!$B$5:$B$204,A201,Lotes!$U$5:$U$204,1)&gt;0,Listas!$B$13&lt;&gt;"OK"),"REVISAR DADOS",IF(H201="Inativo","INATIVO",IF(Q201&lt;=F201,"REPOR","OK"))))</x:f>
      </x:c>
      <x:c r="O201" s="27"/>
      <x:c r="P201" s="163" t="str">
        <x:f>IF(COUNTA(A201:H201,O201)=0,"",IF(OR(A201="",COUNTIFS($A$5:$A$204,A201)&lt;&gt;1),"SKU ausente ou duplicado",IF(OR(B201="",D201=""),"Produto ou unidade ausente",IF(OR(NOT(ISNUMBER(F201)),F201&lt;0,NOT(ISNUMBER(G201)),G201&lt;0),"Mínimo ou custo inválido",IF(AND(H201&lt;&gt;"Ativo",H201&lt;&gt;"Inativo"),"Status de produto inválido","")))))</x:f>
      </x:c>
      <x:c r="Q201" s="163" t="str">
        <x:f>IF(A201="","",IF(OR(P201&lt;&gt;"",COUNTIFS(Lotes!$B$5:$B$204,A201,Lotes!$U$5:$U$204,1)&gt;0,Listas!$B$13&lt;&gt;"OK"),"n.a.",SUMIFS(Lotes!$V$5:$V$204,Lotes!$B$5:$B$204,A201)))</x:f>
      </x:c>
      <x:c r="R201" s="163" t="n">
        <x:f>IF(P201="",0,1)</x:f>
        <x:v>0</x:v>
      </x:c>
      <x:c r="S201" s="163" t="n">
        <x:f>IF(COUNTA(A201:H201,O201)=0,0,IF(OR(Listas!$B$19="Todos",A201=Listas!$B$19,A201=""),1,0))</x:f>
        <x:v>0</x:v>
      </x:c>
      <x:c r="T201" s="163" t="n">
        <x:f>IF(S201=1,COUNTIFS($S$5:S201,1),0)</x:f>
        <x:v>0</x:v>
      </x:c>
      <x:c r="U201" s="1"/>
      <x:c r="V201" s="1"/>
      <x:c r="W201" s="1"/>
    </x:row>
    <x:row r="202" ht="32" customHeight="1">
      <x:c r="A202" s="170"/>
      <x:c r="B202" s="170"/>
      <x:c r="C202" s="170"/>
      <x:c r="D202" s="170"/>
      <x:c r="E202" s="170"/>
      <x:c r="F202" s="171"/>
      <x:c r="G202" s="172"/>
      <x:c r="H202" s="170"/>
      <x:c r="I202" s="173" t="str">
        <x:f>IF(A202="","",IF(OR(P202&lt;&gt;"",COUNTIFS(Lotes!$B$5:$B$204,A202,Lotes!$U$5:$U$204,1)&gt;0,Listas!$B$13&lt;&gt;"OK"),"n.a.",SUMIFS(Lotes!$J$5:$J$204,Lotes!$B$5:$B$204,A202)))</x:f>
      </x:c>
      <x:c r="J202" s="174" t="str">
        <x:f>IF(A202="","",IF(OR(P202&lt;&gt;"",COUNTIFS(Lotes!$B$5:$B$204,A202,Lotes!$U$5:$U$204,1)&gt;0,Listas!$B$13&lt;&gt;"OK"),"n.a.",SUMIFS(Lotes!$L$5:$L$204,Lotes!$B$5:$B$204,A202)))</x:f>
      </x:c>
      <x:c r="K202" s="173" t="str">
        <x:f>IF(A202="","",IF(OR(P202&lt;&gt;"",COUNTIFS(Lotes!$B$5:$B$204,A202,Lotes!$U$5:$U$204,1)&gt;0,Listas!$B$13&lt;&gt;"OK"),"n.a.",COUNTIFS(Lotes!$B$5:$B$204,A202,Lotes!$J$5:$J$204,"&gt;0")))</x:f>
      </x:c>
      <x:c r="L202" s="173" t="str">
        <x:f>IF(A202="","",IF(OR(P202&lt;&gt;"",COUNTIFS(Lotes!$B$5:$B$204,A202,Lotes!$U$5:$U$204,1)&gt;0,Listas!$B$13&lt;&gt;"OK"),"n.a.",COUNTIFS(Lotes!$B$5:$B$204,A202,Lotes!$J$5:$J$204,"&gt;0",Lotes!$N$5:$N$204,"VENCIDO")))</x:f>
      </x:c>
      <x:c r="M202" s="173" t="str">
        <x:f>IF(A202="","",IF(OR(P202&lt;&gt;"",COUNTIFS(Lotes!$B$5:$B$204,A202,Lotes!$U$5:$U$204,1)&gt;0,Listas!$B$13&lt;&gt;"OK"),"n.a.",COUNTIFS(Lotes!$B$5:$B$204,A202,Lotes!$J$5:$J$204,"&gt;0",Lotes!$N$5:$N$204,"CRÍTICO")+COUNTIFS(Lotes!$B$5:$B$204,A202,Lotes!$J$5:$J$204,"&gt;0",Lotes!$N$5:$N$204,"VENCE NA JANELA")))</x:f>
      </x:c>
      <x:c r="N202" s="173" t="str">
        <x:f>IF(A202="","",IF(OR(P202&lt;&gt;"",COUNTIFS(Lotes!$B$5:$B$204,A202,Lotes!$U$5:$U$204,1)&gt;0,Listas!$B$13&lt;&gt;"OK"),"REVISAR DADOS",IF(H202="Inativo","INATIVO",IF(Q202&lt;=F202,"REPOR","OK"))))</x:f>
      </x:c>
      <x:c r="O202" s="27"/>
      <x:c r="P202" s="163" t="str">
        <x:f>IF(COUNTA(A202:H202,O202)=0,"",IF(OR(A202="",COUNTIFS($A$5:$A$204,A202)&lt;&gt;1),"SKU ausente ou duplicado",IF(OR(B202="",D202=""),"Produto ou unidade ausente",IF(OR(NOT(ISNUMBER(F202)),F202&lt;0,NOT(ISNUMBER(G202)),G202&lt;0),"Mínimo ou custo inválido",IF(AND(H202&lt;&gt;"Ativo",H202&lt;&gt;"Inativo"),"Status de produto inválido","")))))</x:f>
      </x:c>
      <x:c r="Q202" s="163" t="str">
        <x:f>IF(A202="","",IF(OR(P202&lt;&gt;"",COUNTIFS(Lotes!$B$5:$B$204,A202,Lotes!$U$5:$U$204,1)&gt;0,Listas!$B$13&lt;&gt;"OK"),"n.a.",SUMIFS(Lotes!$V$5:$V$204,Lotes!$B$5:$B$204,A202)))</x:f>
      </x:c>
      <x:c r="R202" s="163" t="n">
        <x:f>IF(P202="",0,1)</x:f>
        <x:v>0</x:v>
      </x:c>
      <x:c r="S202" s="163" t="n">
        <x:f>IF(COUNTA(A202:H202,O202)=0,0,IF(OR(Listas!$B$19="Todos",A202=Listas!$B$19,A202=""),1,0))</x:f>
        <x:v>0</x:v>
      </x:c>
      <x:c r="T202" s="163" t="n">
        <x:f>IF(S202=1,COUNTIFS($S$5:S202,1),0)</x:f>
        <x:v>0</x:v>
      </x:c>
      <x:c r="U202" s="1"/>
      <x:c r="V202" s="1"/>
      <x:c r="W202" s="1"/>
    </x:row>
    <x:row r="203" ht="32" customHeight="1">
      <x:c r="A203" s="170"/>
      <x:c r="B203" s="170"/>
      <x:c r="C203" s="170"/>
      <x:c r="D203" s="170"/>
      <x:c r="E203" s="170"/>
      <x:c r="F203" s="171"/>
      <x:c r="G203" s="172"/>
      <x:c r="H203" s="170"/>
      <x:c r="I203" s="173" t="str">
        <x:f>IF(A203="","",IF(OR(P203&lt;&gt;"",COUNTIFS(Lotes!$B$5:$B$204,A203,Lotes!$U$5:$U$204,1)&gt;0,Listas!$B$13&lt;&gt;"OK"),"n.a.",SUMIFS(Lotes!$J$5:$J$204,Lotes!$B$5:$B$204,A203)))</x:f>
      </x:c>
      <x:c r="J203" s="174" t="str">
        <x:f>IF(A203="","",IF(OR(P203&lt;&gt;"",COUNTIFS(Lotes!$B$5:$B$204,A203,Lotes!$U$5:$U$204,1)&gt;0,Listas!$B$13&lt;&gt;"OK"),"n.a.",SUMIFS(Lotes!$L$5:$L$204,Lotes!$B$5:$B$204,A203)))</x:f>
      </x:c>
      <x:c r="K203" s="173" t="str">
        <x:f>IF(A203="","",IF(OR(P203&lt;&gt;"",COUNTIFS(Lotes!$B$5:$B$204,A203,Lotes!$U$5:$U$204,1)&gt;0,Listas!$B$13&lt;&gt;"OK"),"n.a.",COUNTIFS(Lotes!$B$5:$B$204,A203,Lotes!$J$5:$J$204,"&gt;0")))</x:f>
      </x:c>
      <x:c r="L203" s="173" t="str">
        <x:f>IF(A203="","",IF(OR(P203&lt;&gt;"",COUNTIFS(Lotes!$B$5:$B$204,A203,Lotes!$U$5:$U$204,1)&gt;0,Listas!$B$13&lt;&gt;"OK"),"n.a.",COUNTIFS(Lotes!$B$5:$B$204,A203,Lotes!$J$5:$J$204,"&gt;0",Lotes!$N$5:$N$204,"VENCIDO")))</x:f>
      </x:c>
      <x:c r="M203" s="173" t="str">
        <x:f>IF(A203="","",IF(OR(P203&lt;&gt;"",COUNTIFS(Lotes!$B$5:$B$204,A203,Lotes!$U$5:$U$204,1)&gt;0,Listas!$B$13&lt;&gt;"OK"),"n.a.",COUNTIFS(Lotes!$B$5:$B$204,A203,Lotes!$J$5:$J$204,"&gt;0",Lotes!$N$5:$N$204,"CRÍTICO")+COUNTIFS(Lotes!$B$5:$B$204,A203,Lotes!$J$5:$J$204,"&gt;0",Lotes!$N$5:$N$204,"VENCE NA JANELA")))</x:f>
      </x:c>
      <x:c r="N203" s="173" t="str">
        <x:f>IF(A203="","",IF(OR(P203&lt;&gt;"",COUNTIFS(Lotes!$B$5:$B$204,A203,Lotes!$U$5:$U$204,1)&gt;0,Listas!$B$13&lt;&gt;"OK"),"REVISAR DADOS",IF(H203="Inativo","INATIVO",IF(Q203&lt;=F203,"REPOR","OK"))))</x:f>
      </x:c>
      <x:c r="O203" s="27"/>
      <x:c r="P203" s="163" t="str">
        <x:f>IF(COUNTA(A203:H203,O203)=0,"",IF(OR(A203="",COUNTIFS($A$5:$A$204,A203)&lt;&gt;1),"SKU ausente ou duplicado",IF(OR(B203="",D203=""),"Produto ou unidade ausente",IF(OR(NOT(ISNUMBER(F203)),F203&lt;0,NOT(ISNUMBER(G203)),G203&lt;0),"Mínimo ou custo inválido",IF(AND(H203&lt;&gt;"Ativo",H203&lt;&gt;"Inativo"),"Status de produto inválido","")))))</x:f>
      </x:c>
      <x:c r="Q203" s="163" t="str">
        <x:f>IF(A203="","",IF(OR(P203&lt;&gt;"",COUNTIFS(Lotes!$B$5:$B$204,A203,Lotes!$U$5:$U$204,1)&gt;0,Listas!$B$13&lt;&gt;"OK"),"n.a.",SUMIFS(Lotes!$V$5:$V$204,Lotes!$B$5:$B$204,A203)))</x:f>
      </x:c>
      <x:c r="R203" s="163" t="n">
        <x:f>IF(P203="",0,1)</x:f>
        <x:v>0</x:v>
      </x:c>
      <x:c r="S203" s="163" t="n">
        <x:f>IF(COUNTA(A203:H203,O203)=0,0,IF(OR(Listas!$B$19="Todos",A203=Listas!$B$19,A203=""),1,0))</x:f>
        <x:v>0</x:v>
      </x:c>
      <x:c r="T203" s="163" t="n">
        <x:f>IF(S203=1,COUNTIFS($S$5:S203,1),0)</x:f>
        <x:v>0</x:v>
      </x:c>
      <x:c r="U203" s="1"/>
      <x:c r="V203" s="1"/>
      <x:c r="W203" s="1"/>
    </x:row>
    <x:row r="204" ht="32" customHeight="1">
      <x:c r="A204" s="170"/>
      <x:c r="B204" s="170"/>
      <x:c r="C204" s="170"/>
      <x:c r="D204" s="170"/>
      <x:c r="E204" s="170"/>
      <x:c r="F204" s="171"/>
      <x:c r="G204" s="172"/>
      <x:c r="H204" s="170"/>
      <x:c r="I204" s="173" t="str">
        <x:f>IF(A204="","",IF(OR(P204&lt;&gt;"",COUNTIFS(Lotes!$B$5:$B$204,A204,Lotes!$U$5:$U$204,1)&gt;0,Listas!$B$13&lt;&gt;"OK"),"n.a.",SUMIFS(Lotes!$J$5:$J$204,Lotes!$B$5:$B$204,A204)))</x:f>
      </x:c>
      <x:c r="J204" s="174" t="str">
        <x:f>IF(A204="","",IF(OR(P204&lt;&gt;"",COUNTIFS(Lotes!$B$5:$B$204,A204,Lotes!$U$5:$U$204,1)&gt;0,Listas!$B$13&lt;&gt;"OK"),"n.a.",SUMIFS(Lotes!$L$5:$L$204,Lotes!$B$5:$B$204,A204)))</x:f>
      </x:c>
      <x:c r="K204" s="173" t="str">
        <x:f>IF(A204="","",IF(OR(P204&lt;&gt;"",COUNTIFS(Lotes!$B$5:$B$204,A204,Lotes!$U$5:$U$204,1)&gt;0,Listas!$B$13&lt;&gt;"OK"),"n.a.",COUNTIFS(Lotes!$B$5:$B$204,A204,Lotes!$J$5:$J$204,"&gt;0")))</x:f>
      </x:c>
      <x:c r="L204" s="173" t="str">
        <x:f>IF(A204="","",IF(OR(P204&lt;&gt;"",COUNTIFS(Lotes!$B$5:$B$204,A204,Lotes!$U$5:$U$204,1)&gt;0,Listas!$B$13&lt;&gt;"OK"),"n.a.",COUNTIFS(Lotes!$B$5:$B$204,A204,Lotes!$J$5:$J$204,"&gt;0",Lotes!$N$5:$N$204,"VENCIDO")))</x:f>
      </x:c>
      <x:c r="M204" s="173" t="str">
        <x:f>IF(A204="","",IF(OR(P204&lt;&gt;"",COUNTIFS(Lotes!$B$5:$B$204,A204,Lotes!$U$5:$U$204,1)&gt;0,Listas!$B$13&lt;&gt;"OK"),"n.a.",COUNTIFS(Lotes!$B$5:$B$204,A204,Lotes!$J$5:$J$204,"&gt;0",Lotes!$N$5:$N$204,"CRÍTICO")+COUNTIFS(Lotes!$B$5:$B$204,A204,Lotes!$J$5:$J$204,"&gt;0",Lotes!$N$5:$N$204,"VENCE NA JANELA")))</x:f>
      </x:c>
      <x:c r="N204" s="173" t="str">
        <x:f>IF(A204="","",IF(OR(P204&lt;&gt;"",COUNTIFS(Lotes!$B$5:$B$204,A204,Lotes!$U$5:$U$204,1)&gt;0,Listas!$B$13&lt;&gt;"OK"),"REVISAR DADOS",IF(H204="Inativo","INATIVO",IF(Q204&lt;=F204,"REPOR","OK"))))</x:f>
      </x:c>
      <x:c r="O204" s="27"/>
      <x:c r="P204" s="163" t="str">
        <x:f>IF(COUNTA(A204:H204,O204)=0,"",IF(OR(A204="",COUNTIFS($A$5:$A$204,A204)&lt;&gt;1),"SKU ausente ou duplicado",IF(OR(B204="",D204=""),"Produto ou unidade ausente",IF(OR(NOT(ISNUMBER(F204)),F204&lt;0,NOT(ISNUMBER(G204)),G204&lt;0),"Mínimo ou custo inválido",IF(AND(H204&lt;&gt;"Ativo",H204&lt;&gt;"Inativo"),"Status de produto inválido","")))))</x:f>
      </x:c>
      <x:c r="Q204" s="163" t="str">
        <x:f>IF(A204="","",IF(OR(P204&lt;&gt;"",COUNTIFS(Lotes!$B$5:$B$204,A204,Lotes!$U$5:$U$204,1)&gt;0,Listas!$B$13&lt;&gt;"OK"),"n.a.",SUMIFS(Lotes!$V$5:$V$204,Lotes!$B$5:$B$204,A204)))</x:f>
      </x:c>
      <x:c r="R204" s="163" t="n">
        <x:f>IF(P204="",0,1)</x:f>
        <x:v>0</x:v>
      </x:c>
      <x:c r="S204" s="163" t="n">
        <x:f>IF(COUNTA(A204:H204,O204)=0,0,IF(OR(Listas!$B$19="Todos",A204=Listas!$B$19,A204=""),1,0))</x:f>
        <x:v>0</x:v>
      </x:c>
      <x:c r="T204" s="163" t="n">
        <x:f>IF(S204=1,COUNTIFS($S$5:S204,1),0)</x:f>
        <x:v>0</x:v>
      </x:c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O1"/>
    <x:mergeCell ref="A2:O2"/>
  </x:mergeCells>
  <x:conditionalFormatting sqref="N5:N204">
    <x:cfRule type="containsText" dxfId="0" priority="1" operator="containsText" text="REPOR"/>
    <x:cfRule type="containsText" dxfId="1" priority="2" operator="containsText" text="ATENÇÃO"/>
  </x:conditionalFormatting>
  <x:conditionalFormatting sqref="P5:P204">
    <x:cfRule type="expression" dxfId="11" priority="3">
      <x:formula>P5&lt;&gt;""</x:formula>
    </x:cfRule>
  </x:conditionalFormatting>
  <x:dataValidations count="4">
    <x:dataValidation type="list" sqref="C5:C204">
      <x:formula1>Listas!$E$6:$E$13</x:formula1>
    </x:dataValidation>
    <x:dataValidation type="list" sqref="D5:D204">
      <x:formula1>Listas!$F$6:$F$15</x:formula1>
    </x:dataValidation>
    <x:dataValidation type="list" sqref="E5:E204">
      <x:formula1>Listas!$L$6:$L$15</x:formula1>
    </x:dataValidation>
    <x:dataValidation type="list" sqref="H5:H204">
      <x:formula1>Listas!$G$6:$G$7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7c3881a38d42fc"/>
  </x:tableParts>
</x:worksheet>
</file>

<file path=xl/worksheets/sheet3.xml><?xml version="1.0" encoding="utf-8"?>
<x:worksheet xmlns:x="http://schemas.openxmlformats.org/spreadsheetml/2006/main">
  <x:sheetPr>
    <x:tabColor rgb="FFE39A2D"/>
  </x:sheetPr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33" hidden="0" customWidth="1"/>
    <x:col min="4" max="4" width="22" hidden="0" customWidth="1"/>
    <x:col min="5" max="5" width="16" hidden="0" customWidth="1"/>
    <x:col min="6" max="6" width="16" hidden="0" customWidth="1"/>
    <x:col min="7" max="7" width="16" hidden="0" customWidth="1"/>
    <x:col min="8" max="8" width="18" hidden="0" customWidth="1"/>
    <x:col min="9" max="9" width="18" hidden="0" customWidth="1"/>
    <x:col min="10" max="10" width="17" hidden="0" customWidth="1"/>
    <x:col min="11" max="11" width="19" hidden="0" customWidth="1"/>
    <x:col min="12" max="12" width="22" hidden="0" customWidth="1"/>
    <x:col min="13" max="13" width="18" hidden="0" customWidth="1"/>
    <x:col min="14" max="14" width="24" hidden="0" customWidth="1"/>
    <x:col min="15" max="15" width="17" hidden="0" customWidth="1"/>
    <x:col min="16" max="16" width="29" hidden="0" customWidth="1"/>
    <x:col min="17" max="17" width="18" hidden="0" customWidth="1"/>
    <x:col min="18" max="18" width="20" hidden="0" customWidth="1"/>
    <x:col min="19" max="19" width="22" hidden="0" customWidth="1"/>
    <x:col min="20" max="20" width="22" hidden="0" customWidth="1"/>
    <x:col min="21" max="21" width="22" hidden="0" customWidth="1"/>
    <x:col min="22" max="22" width="22" hidden="0" customWidth="1"/>
    <x:col min="23" max="23" width="22" hidden="0" customWidth="1"/>
    <x:col min="24" max="24" width="22" hidden="0" customWidth="1"/>
    <x:col min="25" max="25" width="40" hidden="0" customWidth="1"/>
    <x:col min="26" max="26" width="22" hidden="0" customWidth="1"/>
    <x:col min="27" max="27" width="22" hidden="0" customWidth="1"/>
    <x:col min="28" max="28" width="22" hidden="0" customWidth="1"/>
    <x:col min="29" max="29" width="42" hidden="0" customWidth="1"/>
    <x:col min="30" max="30" width="22" hidden="0" customWidth="1"/>
    <x:col min="31" max="31" width="22" hidden="0" customWidth="1"/>
    <x:col min="32" max="32" width="22" hidden="0" customWidth="1"/>
    <x:col min="33" max="33" width="22" hidden="0" customWidth="1"/>
    <x:col min="34" max="34" width="22" hidden="0" customWidth="1"/>
  </x:cols>
  <x:sheetData>
    <x:row r="1" ht="34" customHeight="1">
      <x:c r="A1" s="4" t="str">
        <x:v>CONTROLE DE LOTES, VALIDADES E FEFO</x:v>
      </x:c>
      <x:c r="B1" s="4" t="str">
        <x:v>CONTROLE DE LOTES, VALIDADES E FEFO</x:v>
      </x:c>
      <x:c r="C1" s="4" t="str">
        <x:v>CONTROLE DE LOTES, VALIDADES E FEFO</x:v>
      </x:c>
      <x:c r="D1" s="4" t="str">
        <x:v>CONTROLE DE LOTES, VALIDADES E FEFO</x:v>
      </x:c>
      <x:c r="E1" s="4" t="str">
        <x:v>CONTROLE DE LOTES, VALIDADES E FEFO</x:v>
      </x:c>
      <x:c r="F1" s="4" t="str">
        <x:v>CONTROLE DE LOTES, VALIDADES E FEFO</x:v>
      </x:c>
      <x:c r="G1" s="4" t="str">
        <x:v>CONTROLE DE LOTES, VALIDADES E FEFO</x:v>
      </x:c>
      <x:c r="H1" s="4" t="str">
        <x:v>CONTROLE DE LOTES, VALIDADES E FEFO</x:v>
      </x:c>
      <x:c r="I1" s="4" t="str">
        <x:v>CONTROLE DE LOTES, VALIDADES E FEFO</x:v>
      </x:c>
      <x:c r="J1" s="4" t="str">
        <x:v>CONTROLE DE LOTES, VALIDADES E FEFO</x:v>
      </x:c>
      <x:c r="K1" s="4" t="str">
        <x:v>CONTROLE DE LOTES, VALIDADES E FEFO</x:v>
      </x:c>
      <x:c r="L1" s="4" t="str">
        <x:v>CONTROLE DE LOTES, VALIDADES E FEFO</x:v>
      </x:c>
      <x:c r="M1" s="4" t="str">
        <x:v>CONTROLE DE LOTES, VALIDADES E FEFO</x:v>
      </x:c>
      <x:c r="N1" s="4" t="str">
        <x:v>CONTROLE DE LOTES, VALIDADES E FEFO</x:v>
      </x:c>
      <x:c r="O1" s="4" t="str">
        <x:v>CONTROLE DE LOTES, VALIDADES E FEFO</x:v>
      </x:c>
      <x:c r="P1" s="4" t="str">
        <x:v>CONTROLE DE LOTES, VALIDADES E FEFO</x:v>
      </x:c>
      <x:c r="Q1" s="4" t="str">
        <x:v>CONTROLE DE LOTES, VALIDADES E FEFO</x:v>
      </x:c>
      <x:c r="R1" s="4" t="str">
        <x:v>CONTROLE DE LOTES, VALIDADES E FEFO</x:v>
      </x:c>
      <x:c r="S1" s="1"/>
      <x:c r="T1" s="1"/>
      <x:c r="U1" s="1"/>
      <x:c r="V1" s="1"/>
      <x:c r="W1" s="1"/>
    </x:row>
    <x:row r="2" ht="36" customHeight="1">
      <x:c r="A2" s="8" t="str">
        <x:v>Cada lote tem validade, saldo, valor e ação sugerida. Priorize a saída pela menor validade entre os lotes liberados.</x:v>
      </x:c>
      <x:c r="B2" s="8" t="str">
        <x:v>Cada lote tem validade, saldo, valor e ação sugerida. Priorize a saída pela menor validade entre os lotes liberados.</x:v>
      </x:c>
      <x:c r="C2" s="8" t="str">
        <x:v>Cada lote tem validade, saldo, valor e ação sugerida. Priorize a saída pela menor validade entre os lotes liberados.</x:v>
      </x:c>
      <x:c r="D2" s="8" t="str">
        <x:v>Cada lote tem validade, saldo, valor e ação sugerida. Priorize a saída pela menor validade entre os lotes liberados.</x:v>
      </x:c>
      <x:c r="E2" s="8" t="str">
        <x:v>Cada lote tem validade, saldo, valor e ação sugerida. Priorize a saída pela menor validade entre os lotes liberados.</x:v>
      </x:c>
      <x:c r="F2" s="8" t="str">
        <x:v>Cada lote tem validade, saldo, valor e ação sugerida. Priorize a saída pela menor validade entre os lotes liberados.</x:v>
      </x:c>
      <x:c r="G2" s="8" t="str">
        <x:v>Cada lote tem validade, saldo, valor e ação sugerida. Priorize a saída pela menor validade entre os lotes liberados.</x:v>
      </x:c>
      <x:c r="H2" s="8" t="str">
        <x:v>Cada lote tem validade, saldo, valor e ação sugerida. Priorize a saída pela menor validade entre os lotes liberados.</x:v>
      </x:c>
      <x:c r="I2" s="8" t="str">
        <x:v>Cada lote tem validade, saldo, valor e ação sugerida. Priorize a saída pela menor validade entre os lotes liberados.</x:v>
      </x:c>
      <x:c r="J2" s="8" t="str">
        <x:v>Cada lote tem validade, saldo, valor e ação sugerida. Priorize a saída pela menor validade entre os lotes liberados.</x:v>
      </x:c>
      <x:c r="K2" s="8" t="str">
        <x:v>Cada lote tem validade, saldo, valor e ação sugerida. Priorize a saída pela menor validade entre os lotes liberados.</x:v>
      </x:c>
      <x:c r="L2" s="8" t="str">
        <x:v>Cada lote tem validade, saldo, valor e ação sugerida. Priorize a saída pela menor validade entre os lotes liberados.</x:v>
      </x:c>
      <x:c r="M2" s="8" t="str">
        <x:v>Cada lote tem validade, saldo, valor e ação sugerida. Priorize a saída pela menor validade entre os lotes liberados.</x:v>
      </x:c>
      <x:c r="N2" s="8" t="str">
        <x:v>Cada lote tem validade, saldo, valor e ação sugerida. Priorize a saída pela menor validade entre os lotes liberados.</x:v>
      </x:c>
      <x:c r="O2" s="8" t="str">
        <x:v>Cada lote tem validade, saldo, valor e ação sugerida. Priorize a saída pela menor validade entre os lotes liberados.</x:v>
      </x:c>
      <x:c r="P2" s="8" t="str">
        <x:v>Cada lote tem validade, saldo, valor e ação sugerida. Priorize a saída pela menor validade entre os lotes liberados.</x:v>
      </x:c>
      <x:c r="Q2" s="8" t="str">
        <x:v>Cada lote tem validade, saldo, valor e ação sugerida. Priorize a saída pela menor validade entre os lotes liberados.</x:v>
      </x:c>
      <x:c r="R2" s="8" t="str">
        <x:v>Cada lote tem validade, saldo, valor e ação sugerida. Priorize a saída pela menor validade entre os lotes liberados.</x:v>
      </x:c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2" customHeight="1">
      <x:c r="A4" s="22" t="str">
        <x:v>Lote</x:v>
      </x:c>
      <x:c r="B4" s="23" t="str">
        <x:v>SKU</x:v>
      </x:c>
      <x:c r="C4" s="23" t="str">
        <x:v>Produto</x:v>
      </x:c>
      <x:c r="D4" s="23" t="str">
        <x:v>Fornecedor</x:v>
      </x:c>
      <x:c r="E4" s="23" t="str">
        <x:v>Recebimento</x:v>
      </x:c>
      <x:c r="F4" s="23" t="str">
        <x:v>Fabricação</x:v>
      </x:c>
      <x:c r="G4" s="23" t="str">
        <x:v>Validade</x:v>
      </x:c>
      <x:c r="H4" s="23" t="str">
        <x:v>Dias para vencer</x:v>
      </x:c>
      <x:c r="I4" s="23" t="str">
        <x:v>Recebimento informado</x:v>
      </x:c>
      <x:c r="J4" s="23" t="str">
        <x:v>Saldo do lote</x:v>
      </x:c>
      <x:c r="K4" s="23" t="str">
        <x:v>Custo unitário</x:v>
      </x:c>
      <x:c r="L4" s="23" t="str">
        <x:v>Valor em estoque</x:v>
      </x:c>
      <x:c r="M4" s="23" t="str">
        <x:v>Status do lote</x:v>
      </x:c>
      <x:c r="N4" s="23" t="str">
        <x:v>Situação da validade</x:v>
      </x:c>
      <x:c r="O4" s="23" t="str">
        <x:v>Validade FEFO elegível</x:v>
      </x:c>
      <x:c r="P4" s="23" t="str">
        <x:v>Ação sugerida</x:v>
      </x:c>
      <x:c r="Q4" s="23" t="str">
        <x:v>Documento</x:v>
      </x:c>
      <x:c r="R4" s="24" t="str">
        <x:v>Valor em risco</x:v>
      </x:c>
      <x:c r="S4" s="178" t="str">
        <x:v>Pendência do lote</x:v>
      </x:c>
      <x:c r="T4" s="178" t="str">
        <x:v>Movimentos inválidos</x:v>
      </x:c>
      <x:c r="U4" s="178" t="str">
        <x:v>Linha pendente</x:v>
      </x:c>
      <x:c r="V4" s="178" t="str">
        <x:v>Saldo utilizável</x:v>
      </x:c>
      <x:c r="W4" s="178" t="str">
        <x:v>Valor utilizável</x:v>
      </x:c>
      <x:c r="X4" s="178" t="str">
        <x:v>No contexto</x:v>
      </x:c>
      <x:c r="Y4" s="178" t="str">
        <x:v>Motivos da prioridade</x:v>
      </x:c>
      <x:c r="Z4" s="178" t="str">
        <x:v>Prioridade</x:v>
      </x:c>
      <x:c r="AA4" s="178" t="str">
        <x:v>Ordem no contexto</x:v>
      </x:c>
      <x:c r="AB4" s="178" t="str">
        <x:v>Responsável (entrada)</x:v>
      </x:c>
      <x:c r="AC4" s="178" t="str">
        <x:v>Próxima ação (entrada)</x:v>
      </x:c>
      <x:c r="AD4" s="178" t="str">
        <x:v>Prazo da ação (entrada)</x:v>
      </x:c>
      <x:c r="AE4" s="178" t="str">
        <x:v>Grupo do gráfico</x:v>
      </x:c>
      <x:c r="AF4" s="178" t="str">
        <x:v>Identificação no painel</x:v>
      </x:c>
      <x:c r="AG4" s="178" t="str">
        <x:v>Pendência da ação</x:v>
      </x:c>
      <x:c r="AH4" s="178" t="str">
        <x:v>Prazo pendente</x:v>
      </x:c>
    </x:row>
    <x:row r="5" ht="32" customHeight="1">
      <x:c r="A5" s="27" t="str">
        <x:v>LOT-I001</x:v>
      </x:c>
      <x:c r="B5" s="27" t="str">
        <x:v>SKU-001</x:v>
      </x:c>
      <x:c r="C5" s="40" t="str">
        <x:f>IF($B5="","",IFERROR(INDEX(Produtos!$B$5:$B$204,MATCH($B5,Produtos!$A$5:$A$204,0)),""))</x:f>
        <x:v>Iogurte natural 170 g</x:v>
      </x:c>
      <x:c r="D5" s="170" t="str">
        <x:v>Lácteos Serra</x:v>
      </x:c>
      <x:c r="E5" s="179" t="n">
        <x:v>46205</x:v>
      </x:c>
      <x:c r="F5" s="179" t="n">
        <x:v>46201</x:v>
      </x:c>
      <x:c r="G5" s="179" t="n">
        <x:v>46254</x:v>
      </x:c>
      <x:c r="H5" s="40" t="n">
        <x:f>IF(A5="","",IF(OR(S5&lt;&gt;"",Listas!$B$13&lt;&gt;"OK"),"n.a.",G5-Listas!$B$6))</x:f>
        <x:v>-40</x:v>
      </x:c>
      <x:c r="I5" s="40" t="n">
        <x:v>300</x:v>
      </x:c>
      <x:c r="J5" s="40" t="n">
        <x:f>IF(A5="","",IF(OR(S5&lt;&gt;"",T5&gt;0,Listas!$B$13&lt;&gt;"OK"),"n.a.",SUMIFS(Movimentacoes!$H$5:$H$304,Movimentacoes!$D$5:$D$304,A5,Movimentacoes!$B$5:$B$304,"&lt;="&amp;Listas!$B$6)))</x:f>
        <x:v>60</x:v>
      </x:c>
      <x:c r="K5" s="180" t="n">
        <x:v>2.3</x:v>
      </x:c>
      <x:c r="L5" s="181" t="n">
        <x:f>IF(A5="","",IF(OR(U5&gt;0,Listas!$B$13&lt;&gt;"OK"),"n.a.",J5*K5))</x:f>
        <x:v>138</x:v>
      </x:c>
      <x:c r="M5" s="27" t="str">
        <x:v>Liberado</x:v>
      </x:c>
      <x:c r="N5" s="40" t="str">
        <x:f>IF(A5="","",IF(OR(U5&gt;0,Listas!$B$13&lt;&gt;"OK"),"REVISAR DADOS",IF(J5=0,"SEM SALDO",IF(G5&lt;Listas!$B$6,"VENCIDO",IF(H5&lt;=Listas!$B$7,"CRÍTICO",IF(H5&lt;=Listas!$B$8,"VENCE NA JANELA","OK"))))))</x:f>
        <x:v>VENCIDO</x:v>
      </x:c>
      <x:c r="O5" s="41" t="str">
        <x:f>IF(A5="","",IF(AND(ISNUMBER(V5),V5&gt;0),G5,""))</x:f>
      </x:c>
      <x:c r="P5" s="40" t="str">
        <x:f>IF(A5="","",IF(OR(U5&gt;0,Listas!$B$13&lt;&gt;"OK"),"REVISAR DADOS",IF(J5=0,"ARQUIVAR LOTE",IF(M5="Quarentena","DECIDIR LIBERAÇÃO",IF(M5="Bloqueado","SEGREGAR E INVESTIGAR",IF(M5="Esgotado","REVISAR STATUS COM SALDO",IF(N5="VENCIDO","SEGREGAR E AVALIAR DESTINAÇÃO",IF(OR(N5="CRÍTICO",N5="VENCE NA JANELA"),"PRIORIZAR FEFO","MANTER ROTAÇÃO"))))))))</x:f>
        <x:v>SEGREGAR E AVALIAR DESTINAÇÃO</x:v>
      </x:c>
      <x:c r="Q5" s="27" t="str">
        <x:v>NF 14520</x:v>
      </x:c>
      <x:c r="R5" s="181" t="n">
        <x:f>IF(A5="","",IF(OR(U5&gt;0,Listas!$B$13&lt;&gt;"OK"),"n.a.",IF(OR(N5="VENCIDO",N5="CRÍTICO",N5="VENCE NA JANELA",M5="Quarentena",M5="Bloqueado"),L5,0)))</x:f>
        <x:v>138</x:v>
      </x:c>
      <x:c r="S5" s="163" t="str">
        <x:f>IF(COUNTA(A5:B5,D5:G5,I5,K5,M5,Q5,AB5:AD5)=0,"",IF(OR(A5="",COUNTIFS($A$5:$A$204,A5)&lt;&gt;1),"Lote ausente ou duplicado",IF(OR(B5="",COUNTIFS(Produtos!$A$5:$A$204,B5)&lt;&gt;1),"SKU ausente ou desconhecido",IF(COUNTIFS(Produtos!$A$5:$A$204,B5,Produtos!$R$5:$R$204,1)&gt;0,"Revisar cadastro do produto",IF(OR(NOT(ISNUMBER(E5)),E5&lt;=0,NOT(ISNUMBER(G5)),G5&lt;=0,G5&lt;E5),"Recebimento ou validade inválida",IF(AND(F5&lt;&gt;"",OR(NOT(ISNUMBER(F5)),F5&lt;=0,F5&gt;E5)),"Fabricação inválida ou posterior ao recebimento",IF(OR(NOT(ISNUMBER(K5)),K5&lt;0,NOT(ISNUMBER(I5)),I5&lt;0),"Quantidade recebida ou custo inválido",IF(AND(M5&lt;&gt;"Liberado",M5&lt;&gt;"Quarentena",M5&lt;&gt;"Bloqueado",M5&lt;&gt;"Esgotado"),"Status de lote inválido",""))))))))</x:f>
      </x:c>
      <x:c r="T5" s="163" t="n">
        <x:f>IF(A5="",0,COUNTIFS(Movimentacoes!$D$5:$D$304,A5,Movimentacoes!$P$5:$P$304,1))</x:f>
        <x:v>0</x:v>
      </x:c>
      <x:c r="U5" s="163" t="n">
        <x:f>IF(COUNTA(A5:B5,D5:G5,I5,K5,M5,Q5,AB5:AD5)=0,0,IF(OR(S5&lt;&gt;"",T5&gt;0),1,IF(ISNUMBER(J5),IF(OR(J5&lt;0,AND(J5&gt;0,M5="Esgotado")),1,0),0)))</x:f>
        <x:v>0</x:v>
      </x:c>
      <x:c r="V5" s="163" t="n">
        <x:f>IF(A5="","",IF(OR(U5&gt;0,Listas!$B$13&lt;&gt;"OK"),"n.a.",IF(AND(J5&gt;0,M5="Liberado",G5&gt;=Listas!$B$6),J5,0)))</x:f>
        <x:v>0</x:v>
      </x:c>
      <x:c r="W5" s="163" t="n">
        <x:f>IF(A5="","",IF(OR(U5&gt;0,Listas!$B$13&lt;&gt;"OK"),"n.a.",V5*K5))</x:f>
        <x:v>0</x:v>
      </x:c>
      <x:c r="X5" s="167" t="n">
        <x:f>IF(COUNTA(A5:B5,D5:G5,I5,K5,M5,Q5,AB5:AD5)=0,0,IF(OR(Listas!$B$19="Todos",B5=Listas!$B$19,COUNTIFS(Produtos!$A$5:$A$204,B5)&lt;&gt;1),1,0))</x:f>
        <x:v>1</x:v>
      </x:c>
      <x:c r="Y5" s="167" t="str">
        <x:f>IF(X5=0,"",IF(Listas!$B$13&lt;&gt;"OK","Revisar parâmetros",IF(U5&gt;0,IF(S5&lt;&gt;"",S5,IF(T5&gt;0,"Revisar movimentos",IF(AND(ISNUMBER(J5),J5&lt;0),"Saldo negativo","Status esgotado com saldo"))),IF(AG5&lt;&gt;"",AG5&amp;". ","")&amp;IF(J5&lt;=0,"",IF(N5="VENCIDO","Validade vencida. ","")&amp;IF(M5="Quarentena","Em quarentena. ","")&amp;IF(M5="Bloqueado","Lote bloqueado. ","")&amp;IF(N5="CRÍTICO","Validade crítica. ","")&amp;IF(N5="VENCE NA JANELA","Vence na janela. ","")))))</x:f>
        <x:v>Validade vencida. </x:v>
      </x:c>
      <x:c r="Z5" s="167" t="n">
        <x:f>IF(OR(X5=0,Y5=""),0,IF(OR(Listas!$B$13&lt;&gt;"OK",U5&gt;0,AH5&gt;0),1,IF(N5="VENCIDO",2,IF(OR(M5="Quarentena",M5="Bloqueado"),3,IF(N5="CRÍTICO",4,5)))))</x:f>
        <x:v>2</x:v>
      </x:c>
      <x:c r="AA5" s="167" t="n">
        <x:f>IF(Z5=0,0,COUNTIFS($Z$5:$Z$204,"&gt;0",$Z$5:$Z$204,"&lt;"&amp;Z5,$X$5:$X$204,1)+COUNTIFS($Z$5:Z5,Z5,$X$5:X5,1))</x:f>
        <x:v>1</x:v>
      </x:c>
      <x:c r="AB5" s="168" t="str">
        <x:v>Ana Souza</x:v>
      </x:c>
      <x:c r="AC5" s="168" t="str">
        <x:v>Conferir segregação e registrar decisão</x:v>
      </x:c>
      <x:c r="AD5" s="169" t="n">
        <x:v>46294</x:v>
      </x:c>
      <x:c r="AE5" s="167" t="str">
        <x:f>IF(X5=0,"",IF(OR(U5&gt;0,Listas!$B$13&lt;&gt;"OK"),"Dados pendentes",IF(J5&lt;=0,"Sem saldo",IF(N5="VENCIDO","Vencidos",IF(OR(M5="Quarentena",M5="Bloqueado"),"Restritos vigentes",IF(OR(N5="CRÍTICO",N5="VENCE NA JANELA"),"Liberados na janela","Demais liberados"))))))</x:f>
        <x:v>Vencidos</x:v>
      </x:c>
      <x:c r="AF5" s="167" t="str">
        <x:f>IF(A5&lt;&gt;"",A5,IF(U5&gt;0,"Sem ID (linha "&amp;ROW()&amp;")",""))</x:f>
        <x:v>LOT-I001</x:v>
      </x:c>
      <x:c r="AG5" s="167" t="str">
        <x:f>IF(AD5="","",IF(OR(NOT(ISNUMBER(AD5)),AD5&lt;=0),"Prazo da ação inválido",""))</x:f>
      </x:c>
      <x:c r="AH5" s="167" t="n">
        <x:f>IF(AG5="",0,1)</x:f>
        <x:v>0</x:v>
      </x:c>
    </x:row>
    <x:row r="6" ht="32" customHeight="1">
      <x:c r="A6" s="27" t="str">
        <x:v>LOT-I002</x:v>
      </x:c>
      <x:c r="B6" s="27" t="str">
        <x:v>SKU-001</x:v>
      </x:c>
      <x:c r="C6" s="40" t="str">
        <x:f>IF($B6="","",IFERROR(INDEX(Produtos!$B$5:$B$204,MATCH($B6,Produtos!$A$5:$A$204,0)),""))</x:f>
        <x:v>Iogurte natural 170 g</x:v>
      </x:c>
      <x:c r="D6" s="170" t="str">
        <x:v>Lácteos Serra</x:v>
      </x:c>
      <x:c r="E6" s="179" t="n">
        <x:v>46249</x:v>
      </x:c>
      <x:c r="F6" s="179" t="n">
        <x:v>46245</x:v>
      </x:c>
      <x:c r="G6" s="179" t="n">
        <x:v>46303</x:v>
      </x:c>
      <x:c r="H6" s="40" t="n">
        <x:f>IF(A6="","",IF(OR(S6&lt;&gt;"",Listas!$B$13&lt;&gt;"OK"),"n.a.",G6-Listas!$B$6))</x:f>
        <x:v>9</x:v>
      </x:c>
      <x:c r="I6" s="40" t="n">
        <x:v>420</x:v>
      </x:c>
      <x:c r="J6" s="40" t="n">
        <x:f>IF(A6="","",IF(OR(S6&lt;&gt;"",T6&gt;0,Listas!$B$13&lt;&gt;"OK"),"n.a.",SUMIFS(Movimentacoes!$H$5:$H$304,Movimentacoes!$D$5:$D$304,A6,Movimentacoes!$B$5:$B$304,"&lt;="&amp;Listas!$B$6)))</x:f>
        <x:v>290</x:v>
      </x:c>
      <x:c r="K6" s="180" t="n">
        <x:v>2.4</x:v>
      </x:c>
      <x:c r="L6" s="181" t="n">
        <x:f>IF(A6="","",IF(OR(U6&gt;0,Listas!$B$13&lt;&gt;"OK"),"n.a.",J6*K6))</x:f>
        <x:v>696</x:v>
      </x:c>
      <x:c r="M6" s="27" t="str">
        <x:v>Liberado</x:v>
      </x:c>
      <x:c r="N6" s="40" t="str">
        <x:f>IF(A6="","",IF(OR(U6&gt;0,Listas!$B$13&lt;&gt;"OK"),"REVISAR DADOS",IF(J6=0,"SEM SALDO",IF(G6&lt;Listas!$B$6,"VENCIDO",IF(H6&lt;=Listas!$B$7,"CRÍTICO",IF(H6&lt;=Listas!$B$8,"VENCE NA JANELA","OK"))))))</x:f>
        <x:v>CRÍTICO</x:v>
      </x:c>
      <x:c r="O6" s="41" t="n">
        <x:f>IF(A6="","",IF(AND(ISNUMBER(V6),V6&gt;0),G6,""))</x:f>
        <x:v>46303</x:v>
      </x:c>
      <x:c r="P6" s="40" t="str">
        <x:f>IF(A6="","",IF(OR(U6&gt;0,Listas!$B$13&lt;&gt;"OK"),"REVISAR DADOS",IF(J6=0,"ARQUIVAR LOTE",IF(M6="Quarentena","DECIDIR LIBERAÇÃO",IF(M6="Bloqueado","SEGREGAR E INVESTIGAR",IF(M6="Esgotado","REVISAR STATUS COM SALDO",IF(N6="VENCIDO","SEGREGAR E AVALIAR DESTINAÇÃO",IF(OR(N6="CRÍTICO",N6="VENCE NA JANELA"),"PRIORIZAR FEFO","MANTER ROTAÇÃO"))))))))</x:f>
        <x:v>PRIORIZAR FEFO</x:v>
      </x:c>
      <x:c r="Q6" s="27" t="str">
        <x:v>NF 15081</x:v>
      </x:c>
      <x:c r="R6" s="181" t="n">
        <x:f>IF(A6="","",IF(OR(U6&gt;0,Listas!$B$13&lt;&gt;"OK"),"n.a.",IF(OR(N6="VENCIDO",N6="CRÍTICO",N6="VENCE NA JANELA",M6="Quarentena",M6="Bloqueado"),L6,0)))</x:f>
        <x:v>696</x:v>
      </x:c>
      <x:c r="S6" s="163" t="str">
        <x:f>IF(COUNTA(A6:B6,D6:G6,I6,K6,M6,Q6,AB6:AD6)=0,"",IF(OR(A6="",COUNTIFS($A$5:$A$204,A6)&lt;&gt;1),"Lote ausente ou duplicado",IF(OR(B6="",COUNTIFS(Produtos!$A$5:$A$204,B6)&lt;&gt;1),"SKU ausente ou desconhecido",IF(COUNTIFS(Produtos!$A$5:$A$204,B6,Produtos!$R$5:$R$204,1)&gt;0,"Revisar cadastro do produto",IF(OR(NOT(ISNUMBER(E6)),E6&lt;=0,NOT(ISNUMBER(G6)),G6&lt;=0,G6&lt;E6),"Recebimento ou validade inválida",IF(AND(F6&lt;&gt;"",OR(NOT(ISNUMBER(F6)),F6&lt;=0,F6&gt;E6)),"Fabricação inválida ou posterior ao recebimento",IF(OR(NOT(ISNUMBER(K6)),K6&lt;0,NOT(ISNUMBER(I6)),I6&lt;0),"Quantidade recebida ou custo inválido",IF(AND(M6&lt;&gt;"Liberado",M6&lt;&gt;"Quarentena",M6&lt;&gt;"Bloqueado",M6&lt;&gt;"Esgotado"),"Status de lote inválido",""))))))))</x:f>
      </x:c>
      <x:c r="T6" s="163" t="n">
        <x:f>IF(A6="",0,COUNTIFS(Movimentacoes!$D$5:$D$304,A6,Movimentacoes!$P$5:$P$304,1))</x:f>
        <x:v>0</x:v>
      </x:c>
      <x:c r="U6" s="163" t="n">
        <x:f>IF(COUNTA(A6:B6,D6:G6,I6,K6,M6,Q6,AB6:AD6)=0,0,IF(OR(S6&lt;&gt;"",T6&gt;0),1,IF(ISNUMBER(J6),IF(OR(J6&lt;0,AND(J6&gt;0,M6="Esgotado")),1,0),0)))</x:f>
        <x:v>0</x:v>
      </x:c>
      <x:c r="V6" s="163" t="n">
        <x:f>IF(A6="","",IF(OR(U6&gt;0,Listas!$B$13&lt;&gt;"OK"),"n.a.",IF(AND(J6&gt;0,M6="Liberado",G6&gt;=Listas!$B$6),J6,0)))</x:f>
        <x:v>290</x:v>
      </x:c>
      <x:c r="W6" s="163" t="n">
        <x:f>IF(A6="","",IF(OR(U6&gt;0,Listas!$B$13&lt;&gt;"OK"),"n.a.",V6*K6))</x:f>
        <x:v>696</x:v>
      </x:c>
      <x:c r="X6" s="167" t="n">
        <x:f>IF(COUNTA(A6:B6,D6:G6,I6,K6,M6,Q6,AB6:AD6)=0,0,IF(OR(Listas!$B$19="Todos",B6=Listas!$B$19,COUNTIFS(Produtos!$A$5:$A$204,B6)&lt;&gt;1),1,0))</x:f>
        <x:v>1</x:v>
      </x:c>
      <x:c r="Y6" s="167" t="str">
        <x:f>IF(X6=0,"",IF(Listas!$B$13&lt;&gt;"OK","Revisar parâmetros",IF(U6&gt;0,IF(S6&lt;&gt;"",S6,IF(T6&gt;0,"Revisar movimentos",IF(AND(ISNUMBER(J6),J6&lt;0),"Saldo negativo","Status esgotado com saldo"))),IF(AG6&lt;&gt;"",AG6&amp;". ","")&amp;IF(J6&lt;=0,"",IF(N6="VENCIDO","Validade vencida. ","")&amp;IF(M6="Quarentena","Em quarentena. ","")&amp;IF(M6="Bloqueado","Lote bloqueado. ","")&amp;IF(N6="CRÍTICO","Validade crítica. ","")&amp;IF(N6="VENCE NA JANELA","Vence na janela. ","")))))</x:f>
        <x:v>Validade crítica. </x:v>
      </x:c>
      <x:c r="Z6" s="167" t="n">
        <x:f>IF(OR(X6=0,Y6=""),0,IF(OR(Listas!$B$13&lt;&gt;"OK",U6&gt;0,AH6&gt;0),1,IF(N6="VENCIDO",2,IF(OR(M6="Quarentena",M6="Bloqueado"),3,IF(N6="CRÍTICO",4,5)))))</x:f>
        <x:v>4</x:v>
      </x:c>
      <x:c r="AA6" s="167" t="n">
        <x:f>IF(Z6=0,0,COUNTIFS($Z$5:$Z$204,"&gt;0",$Z$5:$Z$204,"&lt;"&amp;Z6,$X$5:$X$204,1)+COUNTIFS($Z$5:Z6,Z6,$X$5:X6,1))</x:f>
        <x:v>4</x:v>
      </x:c>
      <x:c r="AB6" s="168" t="str">
        <x:v>Bruno Lima</x:v>
      </x:c>
      <x:c r="AC6" s="168" t="str">
        <x:v>Conferir elegibilidade antes da separação</x:v>
      </x:c>
      <x:c r="AD6" s="169" t="n">
        <x:v>46298</x:v>
      </x:c>
      <x:c r="AE6" s="167" t="str">
        <x:f>IF(X6=0,"",IF(OR(U6&gt;0,Listas!$B$13&lt;&gt;"OK"),"Dados pendentes",IF(J6&lt;=0,"Sem saldo",IF(N6="VENCIDO","Vencidos",IF(OR(M6="Quarentena",M6="Bloqueado"),"Restritos vigentes",IF(OR(N6="CRÍTICO",N6="VENCE NA JANELA"),"Liberados na janela","Demais liberados"))))))</x:f>
        <x:v>Liberados na janela</x:v>
      </x:c>
      <x:c r="AF6" s="167" t="str">
        <x:f>IF(A6&lt;&gt;"",A6,IF(U6&gt;0,"Sem ID (linha "&amp;ROW()&amp;")",""))</x:f>
        <x:v>LOT-I002</x:v>
      </x:c>
      <x:c r="AG6" s="167" t="str">
        <x:f>IF(AD6="","",IF(OR(NOT(ISNUMBER(AD6)),AD6&lt;=0),"Prazo da ação inválido",""))</x:f>
      </x:c>
      <x:c r="AH6" s="167" t="n">
        <x:f>IF(AG6="",0,1)</x:f>
        <x:v>0</x:v>
      </x:c>
    </x:row>
    <x:row r="7" ht="32" customHeight="1">
      <x:c r="A7" s="27" t="str">
        <x:v>LOT-S001</x:v>
      </x:c>
      <x:c r="B7" s="27" t="str">
        <x:v>SKU-002</x:v>
      </x:c>
      <x:c r="C7" s="40" t="str">
        <x:f>IF($B7="","",IFERROR(INDEX(Produtos!$B$5:$B$204,MATCH($B7,Produtos!$A$5:$A$204,0)),""))</x:f>
        <x:v>Suco integral 1 L</x:v>
      </x:c>
      <x:c r="D7" s="170" t="str">
        <x:v>Sucos Vale</x:v>
      </x:c>
      <x:c r="E7" s="179" t="n">
        <x:v>46193</x:v>
      </x:c>
      <x:c r="F7" s="179" t="n">
        <x:v>46181</x:v>
      </x:c>
      <x:c r="G7" s="179" t="n">
        <x:v>46310</x:v>
      </x:c>
      <x:c r="H7" s="40" t="n">
        <x:f>IF(A7="","",IF(OR(S7&lt;&gt;"",Listas!$B$13&lt;&gt;"OK"),"n.a.",G7-Listas!$B$6))</x:f>
        <x:v>16</x:v>
      </x:c>
      <x:c r="I7" s="40" t="n">
        <x:v>80</x:v>
      </x:c>
      <x:c r="J7" s="40" t="n">
        <x:f>IF(A7="","",IF(OR(S7&lt;&gt;"",T7&gt;0,Listas!$B$13&lt;&gt;"OK"),"n.a.",SUMIFS(Movimentacoes!$H$5:$H$304,Movimentacoes!$D$5:$D$304,A7,Movimentacoes!$B$5:$B$304,"&lt;="&amp;Listas!$B$6)))</x:f>
        <x:v>28</x:v>
      </x:c>
      <x:c r="K7" s="180" t="n">
        <x:v>56.5</x:v>
      </x:c>
      <x:c r="L7" s="181" t="n">
        <x:f>IF(A7="","",IF(OR(U7&gt;0,Listas!$B$13&lt;&gt;"OK"),"n.a.",J7*K7))</x:f>
        <x:v>1582</x:v>
      </x:c>
      <x:c r="M7" s="27" t="str">
        <x:v>Liberado</x:v>
      </x:c>
      <x:c r="N7" s="40" t="str">
        <x:f>IF(A7="","",IF(OR(U7&gt;0,Listas!$B$13&lt;&gt;"OK"),"REVISAR DADOS",IF(J7=0,"SEM SALDO",IF(G7&lt;Listas!$B$6,"VENCIDO",IF(H7&lt;=Listas!$B$7,"CRÍTICO",IF(H7&lt;=Listas!$B$8,"VENCE NA JANELA","OK"))))))</x:f>
        <x:v>VENCE NA JANELA</x:v>
      </x:c>
      <x:c r="O7" s="41" t="n">
        <x:f>IF(A7="","",IF(AND(ISNUMBER(V7),V7&gt;0),G7,""))</x:f>
        <x:v>46310</x:v>
      </x:c>
      <x:c r="P7" s="40" t="str">
        <x:f>IF(A7="","",IF(OR(U7&gt;0,Listas!$B$13&lt;&gt;"OK"),"REVISAR DADOS",IF(J7=0,"ARQUIVAR LOTE",IF(M7="Quarentena","DECIDIR LIBERAÇÃO",IF(M7="Bloqueado","SEGREGAR E INVESTIGAR",IF(M7="Esgotado","REVISAR STATUS COM SALDO",IF(N7="VENCIDO","SEGREGAR E AVALIAR DESTINAÇÃO",IF(OR(N7="CRÍTICO",N7="VENCE NA JANELA"),"PRIORIZAR FEFO","MANTER ROTAÇÃO"))))))))</x:f>
        <x:v>PRIORIZAR FEFO</x:v>
      </x:c>
      <x:c r="Q7" s="27" t="str">
        <x:v>NF 14215</x:v>
      </x:c>
      <x:c r="R7" s="181" t="n">
        <x:f>IF(A7="","",IF(OR(U7&gt;0,Listas!$B$13&lt;&gt;"OK"),"n.a.",IF(OR(N7="VENCIDO",N7="CRÍTICO",N7="VENCE NA JANELA",M7="Quarentena",M7="Bloqueado"),L7,0)))</x:f>
        <x:v>1582</x:v>
      </x:c>
      <x:c r="S7" s="163" t="str">
        <x:f>IF(COUNTA(A7:B7,D7:G7,I7,K7,M7,Q7,AB7:AD7)=0,"",IF(OR(A7="",COUNTIFS($A$5:$A$204,A7)&lt;&gt;1),"Lote ausente ou duplicado",IF(OR(B7="",COUNTIFS(Produtos!$A$5:$A$204,B7)&lt;&gt;1),"SKU ausente ou desconhecido",IF(COUNTIFS(Produtos!$A$5:$A$204,B7,Produtos!$R$5:$R$204,1)&gt;0,"Revisar cadastro do produto",IF(OR(NOT(ISNUMBER(E7)),E7&lt;=0,NOT(ISNUMBER(G7)),G7&lt;=0,G7&lt;E7),"Recebimento ou validade inválida",IF(AND(F7&lt;&gt;"",OR(NOT(ISNUMBER(F7)),F7&lt;=0,F7&gt;E7)),"Fabricação inválida ou posterior ao recebimento",IF(OR(NOT(ISNUMBER(K7)),K7&lt;0,NOT(ISNUMBER(I7)),I7&lt;0),"Quantidade recebida ou custo inválido",IF(AND(M7&lt;&gt;"Liberado",M7&lt;&gt;"Quarentena",M7&lt;&gt;"Bloqueado",M7&lt;&gt;"Esgotado"),"Status de lote inválido",""))))))))</x:f>
      </x:c>
      <x:c r="T7" s="163" t="n">
        <x:f>IF(A7="",0,COUNTIFS(Movimentacoes!$D$5:$D$304,A7,Movimentacoes!$P$5:$P$304,1))</x:f>
        <x:v>0</x:v>
      </x:c>
      <x:c r="U7" s="163" t="n">
        <x:f>IF(COUNTA(A7:B7,D7:G7,I7,K7,M7,Q7,AB7:AD7)=0,0,IF(OR(S7&lt;&gt;"",T7&gt;0),1,IF(ISNUMBER(J7),IF(OR(J7&lt;0,AND(J7&gt;0,M7="Esgotado")),1,0),0)))</x:f>
        <x:v>0</x:v>
      </x:c>
      <x:c r="V7" s="163" t="n">
        <x:f>IF(A7="","",IF(OR(U7&gt;0,Listas!$B$13&lt;&gt;"OK"),"n.a.",IF(AND(J7&gt;0,M7="Liberado",G7&gt;=Listas!$B$6),J7,0)))</x:f>
        <x:v>28</x:v>
      </x:c>
      <x:c r="W7" s="163" t="n">
        <x:f>IF(A7="","",IF(OR(U7&gt;0,Listas!$B$13&lt;&gt;"OK"),"n.a.",V7*K7))</x:f>
        <x:v>1582</x:v>
      </x:c>
      <x:c r="X7" s="167" t="n">
        <x:f>IF(COUNTA(A7:B7,D7:G7,I7,K7,M7,Q7,AB7:AD7)=0,0,IF(OR(Listas!$B$19="Todos",B7=Listas!$B$19,COUNTIFS(Produtos!$A$5:$A$204,B7)&lt;&gt;1),1,0))</x:f>
        <x:v>1</x:v>
      </x:c>
      <x:c r="Y7" s="167" t="str">
        <x:f>IF(X7=0,"",IF(Listas!$B$13&lt;&gt;"OK","Revisar parâmetros",IF(U7&gt;0,IF(S7&lt;&gt;"",S7,IF(T7&gt;0,"Revisar movimentos",IF(AND(ISNUMBER(J7),J7&lt;0),"Saldo negativo","Status esgotado com saldo"))),IF(AG7&lt;&gt;"",AG7&amp;". ","")&amp;IF(J7&lt;=0,"",IF(N7="VENCIDO","Validade vencida. ","")&amp;IF(M7="Quarentena","Em quarentena. ","")&amp;IF(M7="Bloqueado","Lote bloqueado. ","")&amp;IF(N7="CRÍTICO","Validade crítica. ","")&amp;IF(N7="VENCE NA JANELA","Vence na janela. ","")))))</x:f>
        <x:v>Vence na janela. </x:v>
      </x:c>
      <x:c r="Z7" s="167" t="n">
        <x:f>IF(OR(X7=0,Y7=""),0,IF(OR(Listas!$B$13&lt;&gt;"OK",U7&gt;0,AH7&gt;0),1,IF(N7="VENCIDO",2,IF(OR(M7="Quarentena",M7="Bloqueado"),3,IF(N7="CRÍTICO",4,5)))))</x:f>
        <x:v>5</x:v>
      </x:c>
      <x:c r="AA7" s="167" t="n">
        <x:f>IF(Z7=0,0,COUNTIFS($Z$5:$Z$204,"&gt;0",$Z$5:$Z$204,"&lt;"&amp;Z7,$X$5:$X$204,1)+COUNTIFS($Z$5:Z7,Z7,$X$5:X7,1))</x:f>
        <x:v>5</x:v>
      </x:c>
      <x:c r="AB7" s="168" t="str">
        <x:v>Bruno Lima</x:v>
      </x:c>
      <x:c r="AC7" s="168" t="str">
        <x:v>Planejar saída pela validade</x:v>
      </x:c>
      <x:c r="AD7" s="169" t="n">
        <x:v>46305</x:v>
      </x:c>
      <x:c r="AE7" s="167" t="str">
        <x:f>IF(X7=0,"",IF(OR(U7&gt;0,Listas!$B$13&lt;&gt;"OK"),"Dados pendentes",IF(J7&lt;=0,"Sem saldo",IF(N7="VENCIDO","Vencidos",IF(OR(M7="Quarentena",M7="Bloqueado"),"Restritos vigentes",IF(OR(N7="CRÍTICO",N7="VENCE NA JANELA"),"Liberados na janela","Demais liberados"))))))</x:f>
        <x:v>Liberados na janela</x:v>
      </x:c>
      <x:c r="AF7" s="167" t="str">
        <x:f>IF(A7&lt;&gt;"",A7,IF(U7&gt;0,"Sem ID (linha "&amp;ROW()&amp;")",""))</x:f>
        <x:v>LOT-S001</x:v>
      </x:c>
      <x:c r="AG7" s="167" t="str">
        <x:f>IF(AD7="","",IF(OR(NOT(ISNUMBER(AD7)),AD7&lt;=0),"Prazo da ação inválido",""))</x:f>
      </x:c>
      <x:c r="AH7" s="167" t="n">
        <x:f>IF(AG7="",0,1)</x:f>
        <x:v>0</x:v>
      </x:c>
    </x:row>
    <x:row r="8" ht="32" customHeight="1">
      <x:c r="A8" s="27" t="str">
        <x:v>LOT-A001</x:v>
      </x:c>
      <x:c r="B8" s="27" t="str">
        <x:v>SKU-003</x:v>
      </x:c>
      <x:c r="C8" s="40" t="str">
        <x:f>IF($B8="","",IFERROR(INDEX(Produtos!$B$5:$B$204,MATCH($B8,Produtos!$A$5:$A$204,0)),""))</x:f>
        <x:v>Álcool 70% 500 ml</x:v>
      </x:c>
      <x:c r="D8" s="170" t="str">
        <x:v>Química Sul</x:v>
      </x:c>
      <x:c r="E8" s="179" t="n">
        <x:v>46150</x:v>
      </x:c>
      <x:c r="F8" s="179" t="n">
        <x:v>46134</x:v>
      </x:c>
      <x:c r="G8" s="179" t="n">
        <x:v>46499</x:v>
      </x:c>
      <x:c r="H8" s="40" t="n">
        <x:f>IF(A8="","",IF(OR(S8&lt;&gt;"",Listas!$B$13&lt;&gt;"OK"),"n.a.",G8-Listas!$B$6))</x:f>
        <x:v>205</x:v>
      </x:c>
      <x:c r="I8" s="40" t="n">
        <x:v>220</x:v>
      </x:c>
      <x:c r="J8" s="40" t="n">
        <x:f>IF(A8="","",IF(OR(S8&lt;&gt;"",T8&gt;0,Listas!$B$13&lt;&gt;"OK"),"n.a.",SUMIFS(Movimentacoes!$H$5:$H$304,Movimentacoes!$D$5:$D$304,A8,Movimentacoes!$B$5:$B$304,"&lt;="&amp;Listas!$B$6)))</x:f>
        <x:v>45</x:v>
      </x:c>
      <x:c r="K8" s="180" t="n">
        <x:v>6.6</x:v>
      </x:c>
      <x:c r="L8" s="181" t="n">
        <x:f>IF(A8="","",IF(OR(U8&gt;0,Listas!$B$13&lt;&gt;"OK"),"n.a.",J8*K8))</x:f>
        <x:v>297</x:v>
      </x:c>
      <x:c r="M8" s="27" t="str">
        <x:v>Liberado</x:v>
      </x:c>
      <x:c r="N8" s="40" t="str">
        <x:f>IF(A8="","",IF(OR(U8&gt;0,Listas!$B$13&lt;&gt;"OK"),"REVISAR DADOS",IF(J8=0,"SEM SALDO",IF(G8&lt;Listas!$B$6,"VENCIDO",IF(H8&lt;=Listas!$B$7,"CRÍTICO",IF(H8&lt;=Listas!$B$8,"VENCE NA JANELA","OK"))))))</x:f>
        <x:v>OK</x:v>
      </x:c>
      <x:c r="O8" s="41" t="n">
        <x:f>IF(A8="","",IF(AND(ISNUMBER(V8),V8&gt;0),G8,""))</x:f>
        <x:v>46499</x:v>
      </x:c>
      <x:c r="P8" s="40" t="str">
        <x:f>IF(A8="","",IF(OR(U8&gt;0,Listas!$B$13&lt;&gt;"OK"),"REVISAR DADOS",IF(J8=0,"ARQUIVAR LOTE",IF(M8="Quarentena","DECIDIR LIBERAÇÃO",IF(M8="Bloqueado","SEGREGAR E INVESTIGAR",IF(M8="Esgotado","REVISAR STATUS COM SALDO",IF(N8="VENCIDO","SEGREGAR E AVALIAR DESTINAÇÃO",IF(OR(N8="CRÍTICO",N8="VENCE NA JANELA"),"PRIORIZAR FEFO","MANTER ROTAÇÃO"))))))))</x:f>
        <x:v>MANTER ROTAÇÃO</x:v>
      </x:c>
      <x:c r="Q8" s="27" t="str">
        <x:v>NF 13602</x:v>
      </x:c>
      <x:c r="R8" s="181" t="n">
        <x:f>IF(A8="","",IF(OR(U8&gt;0,Listas!$B$13&lt;&gt;"OK"),"n.a.",IF(OR(N8="VENCIDO",N8="CRÍTICO",N8="VENCE NA JANELA",M8="Quarentena",M8="Bloqueado"),L8,0)))</x:f>
        <x:v>0</x:v>
      </x:c>
      <x:c r="S8" s="163" t="str">
        <x:f>IF(COUNTA(A8:B8,D8:G8,I8,K8,M8,Q8,AB8:AD8)=0,"",IF(OR(A8="",COUNTIFS($A$5:$A$204,A8)&lt;&gt;1),"Lote ausente ou duplicado",IF(OR(B8="",COUNTIFS(Produtos!$A$5:$A$204,B8)&lt;&gt;1),"SKU ausente ou desconhecido",IF(COUNTIFS(Produtos!$A$5:$A$204,B8,Produtos!$R$5:$R$204,1)&gt;0,"Revisar cadastro do produto",IF(OR(NOT(ISNUMBER(E8)),E8&lt;=0,NOT(ISNUMBER(G8)),G8&lt;=0,G8&lt;E8),"Recebimento ou validade inválida",IF(AND(F8&lt;&gt;"",OR(NOT(ISNUMBER(F8)),F8&lt;=0,F8&gt;E8)),"Fabricação inválida ou posterior ao recebimento",IF(OR(NOT(ISNUMBER(K8)),K8&lt;0,NOT(ISNUMBER(I8)),I8&lt;0),"Quantidade recebida ou custo inválido",IF(AND(M8&lt;&gt;"Liberado",M8&lt;&gt;"Quarentena",M8&lt;&gt;"Bloqueado",M8&lt;&gt;"Esgotado"),"Status de lote inválido",""))))))))</x:f>
      </x:c>
      <x:c r="T8" s="163" t="n">
        <x:f>IF(A8="",0,COUNTIFS(Movimentacoes!$D$5:$D$304,A8,Movimentacoes!$P$5:$P$304,1))</x:f>
        <x:v>0</x:v>
      </x:c>
      <x:c r="U8" s="163" t="n">
        <x:f>IF(COUNTA(A8:B8,D8:G8,I8,K8,M8,Q8,AB8:AD8)=0,0,IF(OR(S8&lt;&gt;"",T8&gt;0),1,IF(ISNUMBER(J8),IF(OR(J8&lt;0,AND(J8&gt;0,M8="Esgotado")),1,0),0)))</x:f>
        <x:v>0</x:v>
      </x:c>
      <x:c r="V8" s="163" t="n">
        <x:f>IF(A8="","",IF(OR(U8&gt;0,Listas!$B$13&lt;&gt;"OK"),"n.a.",IF(AND(J8&gt;0,M8="Liberado",G8&gt;=Listas!$B$6),J8,0)))</x:f>
        <x:v>45</x:v>
      </x:c>
      <x:c r="W8" s="163" t="n">
        <x:f>IF(A8="","",IF(OR(U8&gt;0,Listas!$B$13&lt;&gt;"OK"),"n.a.",V8*K8))</x:f>
        <x:v>297</x:v>
      </x:c>
      <x:c r="X8" s="167" t="n">
        <x:f>IF(COUNTA(A8:B8,D8:G8,I8,K8,M8,Q8,AB8:AD8)=0,0,IF(OR(Listas!$B$19="Todos",B8=Listas!$B$19,COUNTIFS(Produtos!$A$5:$A$204,B8)&lt;&gt;1),1,0))</x:f>
        <x:v>1</x:v>
      </x:c>
      <x:c r="Y8" s="167" t="str">
        <x:f>IF(X8=0,"",IF(Listas!$B$13&lt;&gt;"OK","Revisar parâmetros",IF(U8&gt;0,IF(S8&lt;&gt;"",S8,IF(T8&gt;0,"Revisar movimentos",IF(AND(ISNUMBER(J8),J8&lt;0),"Saldo negativo","Status esgotado com saldo"))),IF(AG8&lt;&gt;"",AG8&amp;". ","")&amp;IF(J8&lt;=0,"",IF(N8="VENCIDO","Validade vencida. ","")&amp;IF(M8="Quarentena","Em quarentena. ","")&amp;IF(M8="Bloqueado","Lote bloqueado. ","")&amp;IF(N8="CRÍTICO","Validade crítica. ","")&amp;IF(N8="VENCE NA JANELA","Vence na janela. ","")))))</x:f>
      </x:c>
      <x:c r="Z8" s="167" t="n">
        <x:f>IF(OR(X8=0,Y8=""),0,IF(OR(Listas!$B$13&lt;&gt;"OK",U8&gt;0,AH8&gt;0),1,IF(N8="VENCIDO",2,IF(OR(M8="Quarentena",M8="Bloqueado"),3,IF(N8="CRÍTICO",4,5)))))</x:f>
        <x:v>0</x:v>
      </x:c>
      <x:c r="AA8" s="167" t="n">
        <x:f>IF(Z8=0,0,COUNTIFS($Z$5:$Z$204,"&gt;0",$Z$5:$Z$204,"&lt;"&amp;Z8,$X$5:$X$204,1)+COUNTIFS($Z$5:Z8,Z8,$X$5:X8,1))</x:f>
        <x:v>0</x:v>
      </x:c>
      <x:c r="AB8" s="168"/>
      <x:c r="AC8" s="168"/>
      <x:c r="AD8" s="169"/>
      <x:c r="AE8" s="167" t="str">
        <x:f>IF(X8=0,"",IF(OR(U8&gt;0,Listas!$B$13&lt;&gt;"OK"),"Dados pendentes",IF(J8&lt;=0,"Sem saldo",IF(N8="VENCIDO","Vencidos",IF(OR(M8="Quarentena",M8="Bloqueado"),"Restritos vigentes",IF(OR(N8="CRÍTICO",N8="VENCE NA JANELA"),"Liberados na janela","Demais liberados"))))))</x:f>
        <x:v>Demais liberados</x:v>
      </x:c>
      <x:c r="AF8" s="167" t="str">
        <x:f>IF(A8&lt;&gt;"",A8,IF(U8&gt;0,"Sem ID (linha "&amp;ROW()&amp;")",""))</x:f>
        <x:v>LOT-A001</x:v>
      </x:c>
      <x:c r="AG8" s="167" t="str">
        <x:f>IF(AD8="","",IF(OR(NOT(ISNUMBER(AD8)),AD8&lt;=0),"Prazo da ação inválido",""))</x:f>
      </x:c>
      <x:c r="AH8" s="167" t="n">
        <x:f>IF(AG8="",0,1)</x:f>
        <x:v>0</x:v>
      </x:c>
    </x:row>
    <x:row r="9" ht="32" customHeight="1">
      <x:c r="A9" s="27" t="str">
        <x:v>LOT-V001</x:v>
      </x:c>
      <x:c r="B9" s="27" t="str">
        <x:v>SKU-005</x:v>
      </x:c>
      <x:c r="C9" s="40" t="str">
        <x:f>IF($B9="","",IFERROR(INDEX(Produtos!$B$5:$B$204,MATCH($B9,Produtos!$A$5:$A$204,0)),""))</x:f>
        <x:v>Vitamina C 30 cápsulas</x:v>
      </x:c>
      <x:c r="D9" s="170" t="str">
        <x:v>Farma Certa</x:v>
      </x:c>
      <x:c r="E9" s="179" t="n">
        <x:v>46266</x:v>
      </x:c>
      <x:c r="F9" s="179" t="n">
        <x:v>46204</x:v>
      </x:c>
      <x:c r="G9" s="179" t="n">
        <x:v>46568</x:v>
      </x:c>
      <x:c r="H9" s="40" t="n">
        <x:f>IF(A9="","",IF(OR(S9&lt;&gt;"",Listas!$B$13&lt;&gt;"OK"),"n.a.",G9-Listas!$B$6))</x:f>
        <x:v>274</x:v>
      </x:c>
      <x:c r="I9" s="40" t="n">
        <x:v>120</x:v>
      </x:c>
      <x:c r="J9" s="40" t="n">
        <x:f>IF(A9="","",IF(OR(S9&lt;&gt;"",T9&gt;0,Listas!$B$13&lt;&gt;"OK"),"n.a.",SUMIFS(Movimentacoes!$H$5:$H$304,Movimentacoes!$D$5:$D$304,A9,Movimentacoes!$B$5:$B$304,"&lt;="&amp;Listas!$B$6)))</x:f>
        <x:v>120</x:v>
      </x:c>
      <x:c r="K9" s="180" t="n">
        <x:v>18.2</x:v>
      </x:c>
      <x:c r="L9" s="181" t="n">
        <x:f>IF(A9="","",IF(OR(U9&gt;0,Listas!$B$13&lt;&gt;"OK"),"n.a.",J9*K9))</x:f>
        <x:v>2184</x:v>
      </x:c>
      <x:c r="M9" s="27" t="str">
        <x:v>Quarentena</x:v>
      </x:c>
      <x:c r="N9" s="40" t="str">
        <x:f>IF(A9="","",IF(OR(U9&gt;0,Listas!$B$13&lt;&gt;"OK"),"REVISAR DADOS",IF(J9=0,"SEM SALDO",IF(G9&lt;Listas!$B$6,"VENCIDO",IF(H9&lt;=Listas!$B$7,"CRÍTICO",IF(H9&lt;=Listas!$B$8,"VENCE NA JANELA","OK"))))))</x:f>
        <x:v>OK</x:v>
      </x:c>
      <x:c r="O9" s="41" t="str">
        <x:f>IF(A9="","",IF(AND(ISNUMBER(V9),V9&gt;0),G9,""))</x:f>
      </x:c>
      <x:c r="P9" s="40" t="str">
        <x:f>IF(A9="","",IF(OR(U9&gt;0,Listas!$B$13&lt;&gt;"OK"),"REVISAR DADOS",IF(J9=0,"ARQUIVAR LOTE",IF(M9="Quarentena","DECIDIR LIBERAÇÃO",IF(M9="Bloqueado","SEGREGAR E INVESTIGAR",IF(M9="Esgotado","REVISAR STATUS COM SALDO",IF(N9="VENCIDO","SEGREGAR E AVALIAR DESTINAÇÃO",IF(OR(N9="CRÍTICO",N9="VENCE NA JANELA"),"PRIORIZAR FEFO","MANTER ROTAÇÃO"))))))))</x:f>
        <x:v>DECIDIR LIBERAÇÃO</x:v>
      </x:c>
      <x:c r="Q9" s="27" t="str">
        <x:v>NF 15300</x:v>
      </x:c>
      <x:c r="R9" s="181" t="n">
        <x:f>IF(A9="","",IF(OR(U9&gt;0,Listas!$B$13&lt;&gt;"OK"),"n.a.",IF(OR(N9="VENCIDO",N9="CRÍTICO",N9="VENCE NA JANELA",M9="Quarentena",M9="Bloqueado"),L9,0)))</x:f>
        <x:v>2184</x:v>
      </x:c>
      <x:c r="S9" s="163" t="str">
        <x:f>IF(COUNTA(A9:B9,D9:G9,I9,K9,M9,Q9,AB9:AD9)=0,"",IF(OR(A9="",COUNTIFS($A$5:$A$204,A9)&lt;&gt;1),"Lote ausente ou duplicado",IF(OR(B9="",COUNTIFS(Produtos!$A$5:$A$204,B9)&lt;&gt;1),"SKU ausente ou desconhecido",IF(COUNTIFS(Produtos!$A$5:$A$204,B9,Produtos!$R$5:$R$204,1)&gt;0,"Revisar cadastro do produto",IF(OR(NOT(ISNUMBER(E9)),E9&lt;=0,NOT(ISNUMBER(G9)),G9&lt;=0,G9&lt;E9),"Recebimento ou validade inválida",IF(AND(F9&lt;&gt;"",OR(NOT(ISNUMBER(F9)),F9&lt;=0,F9&gt;E9)),"Fabricação inválida ou posterior ao recebimento",IF(OR(NOT(ISNUMBER(K9)),K9&lt;0,NOT(ISNUMBER(I9)),I9&lt;0),"Quantidade recebida ou custo inválido",IF(AND(M9&lt;&gt;"Liberado",M9&lt;&gt;"Quarentena",M9&lt;&gt;"Bloqueado",M9&lt;&gt;"Esgotado"),"Status de lote inválido",""))))))))</x:f>
      </x:c>
      <x:c r="T9" s="163" t="n">
        <x:f>IF(A9="",0,COUNTIFS(Movimentacoes!$D$5:$D$304,A9,Movimentacoes!$P$5:$P$304,1))</x:f>
        <x:v>0</x:v>
      </x:c>
      <x:c r="U9" s="163" t="n">
        <x:f>IF(COUNTA(A9:B9,D9:G9,I9,K9,M9,Q9,AB9:AD9)=0,0,IF(OR(S9&lt;&gt;"",T9&gt;0),1,IF(ISNUMBER(J9),IF(OR(J9&lt;0,AND(J9&gt;0,M9="Esgotado")),1,0),0)))</x:f>
        <x:v>0</x:v>
      </x:c>
      <x:c r="V9" s="163" t="n">
        <x:f>IF(A9="","",IF(OR(U9&gt;0,Listas!$B$13&lt;&gt;"OK"),"n.a.",IF(AND(J9&gt;0,M9="Liberado",G9&gt;=Listas!$B$6),J9,0)))</x:f>
        <x:v>0</x:v>
      </x:c>
      <x:c r="W9" s="163" t="n">
        <x:f>IF(A9="","",IF(OR(U9&gt;0,Listas!$B$13&lt;&gt;"OK"),"n.a.",V9*K9))</x:f>
        <x:v>0</x:v>
      </x:c>
      <x:c r="X9" s="167" t="n">
        <x:f>IF(COUNTA(A9:B9,D9:G9,I9,K9,M9,Q9,AB9:AD9)=0,0,IF(OR(Listas!$B$19="Todos",B9=Listas!$B$19,COUNTIFS(Produtos!$A$5:$A$204,B9)&lt;&gt;1),1,0))</x:f>
        <x:v>1</x:v>
      </x:c>
      <x:c r="Y9" s="167" t="str">
        <x:f>IF(X9=0,"",IF(Listas!$B$13&lt;&gt;"OK","Revisar parâmetros",IF(U9&gt;0,IF(S9&lt;&gt;"",S9,IF(T9&gt;0,"Revisar movimentos",IF(AND(ISNUMBER(J9),J9&lt;0),"Saldo negativo","Status esgotado com saldo"))),IF(AG9&lt;&gt;"",AG9&amp;". ","")&amp;IF(J9&lt;=0,"",IF(N9="VENCIDO","Validade vencida. ","")&amp;IF(M9="Quarentena","Em quarentena. ","")&amp;IF(M9="Bloqueado","Lote bloqueado. ","")&amp;IF(N9="CRÍTICO","Validade crítica. ","")&amp;IF(N9="VENCE NA JANELA","Vence na janela. ","")))))</x:f>
        <x:v>Em quarentena. </x:v>
      </x:c>
      <x:c r="Z9" s="167" t="n">
        <x:f>IF(OR(X9=0,Y9=""),0,IF(OR(Listas!$B$13&lt;&gt;"OK",U9&gt;0,AH9&gt;0),1,IF(N9="VENCIDO",2,IF(OR(M9="Quarentena",M9="Bloqueado"),3,IF(N9="CRÍTICO",4,5)))))</x:f>
        <x:v>3</x:v>
      </x:c>
      <x:c r="AA9" s="167" t="n">
        <x:f>IF(Z9=0,0,COUNTIFS($Z$5:$Z$204,"&gt;0",$Z$5:$Z$204,"&lt;"&amp;Z9,$X$5:$X$204,1)+COUNTIFS($Z$5:Z9,Z9,$X$5:X9,1))</x:f>
        <x:v>3</x:v>
      </x:c>
      <x:c r="AB9" s="168" t="str">
        <x:v>Carla Nunes</x:v>
      </x:c>
      <x:c r="AC9" s="168" t="str">
        <x:v>Solicitar decisão da qualidade</x:v>
      </x:c>
      <x:c r="AD9" s="169" t="n">
        <x:v>46296</x:v>
      </x:c>
      <x:c r="AE9" s="167" t="str">
        <x:f>IF(X9=0,"",IF(OR(U9&gt;0,Listas!$B$13&lt;&gt;"OK"),"Dados pendentes",IF(J9&lt;=0,"Sem saldo",IF(N9="VENCIDO","Vencidos",IF(OR(M9="Quarentena",M9="Bloqueado"),"Restritos vigentes",IF(OR(N9="CRÍTICO",N9="VENCE NA JANELA"),"Liberados na janela","Demais liberados"))))))</x:f>
        <x:v>Restritos vigentes</x:v>
      </x:c>
      <x:c r="AF9" s="167" t="str">
        <x:f>IF(A9&lt;&gt;"",A9,IF(U9&gt;0,"Sem ID (linha "&amp;ROW()&amp;")",""))</x:f>
        <x:v>LOT-V001</x:v>
      </x:c>
      <x:c r="AG9" s="167" t="str">
        <x:f>IF(AD9="","",IF(OR(NOT(ISNUMBER(AD9)),AD9&lt;=0),"Prazo da ação inválido",""))</x:f>
      </x:c>
      <x:c r="AH9" s="167" t="n">
        <x:f>IF(AG9="",0,1)</x:f>
        <x:v>0</x:v>
      </x:c>
    </x:row>
    <x:row r="10" ht="32" customHeight="1">
      <x:c r="A10" s="27" t="str">
        <x:v>LOT-P001</x:v>
      </x:c>
      <x:c r="B10" s="27" t="str">
        <x:v>SKU-006</x:v>
      </x:c>
      <x:c r="C10" s="40" t="str">
        <x:f>IF($B10="","",IFERROR(INDEX(Produtos!$B$5:$B$204,MATCH($B10,Produtos!$A$5:$A$204,0)),""))</x:f>
        <x:v>Protetor solar FPS 50</x:v>
      </x:c>
      <x:c r="D10" s="170" t="str">
        <x:v>Solaris</x:v>
      </x:c>
      <x:c r="E10" s="179" t="n">
        <x:v>46270</x:v>
      </x:c>
      <x:c r="F10" s="179" t="n">
        <x:v>46254</x:v>
      </x:c>
      <x:c r="G10" s="179" t="n">
        <x:v>46985</x:v>
      </x:c>
      <x:c r="H10" s="40" t="n">
        <x:f>IF(A10="","",IF(OR(S10&lt;&gt;"",Listas!$B$13&lt;&gt;"OK"),"n.a.",G10-Listas!$B$6))</x:f>
        <x:v>691</x:v>
      </x:c>
      <x:c r="I10" s="40" t="n">
        <x:v>95</x:v>
      </x:c>
      <x:c r="J10" s="40" t="n">
        <x:f>IF(A10="","",IF(OR(S10&lt;&gt;"",T10&gt;0,Listas!$B$13&lt;&gt;"OK"),"n.a.",SUMIFS(Movimentacoes!$H$5:$H$304,Movimentacoes!$D$5:$D$304,A10,Movimentacoes!$B$5:$B$304,"&lt;="&amp;Listas!$B$6)))</x:f>
        <x:v>95</x:v>
      </x:c>
      <x:c r="K10" s="180" t="n">
        <x:v>34.5</x:v>
      </x:c>
      <x:c r="L10" s="181" t="n">
        <x:f>IF(A10="","",IF(OR(U10&gt;0,Listas!$B$13&lt;&gt;"OK"),"n.a.",J10*K10))</x:f>
        <x:v>3277.5</x:v>
      </x:c>
      <x:c r="M10" s="27" t="str">
        <x:v>Liberado</x:v>
      </x:c>
      <x:c r="N10" s="40" t="str">
        <x:f>IF(A10="","",IF(OR(U10&gt;0,Listas!$B$13&lt;&gt;"OK"),"REVISAR DADOS",IF(J10=0,"SEM SALDO",IF(G10&lt;Listas!$B$6,"VENCIDO",IF(H10&lt;=Listas!$B$7,"CRÍTICO",IF(H10&lt;=Listas!$B$8,"VENCE NA JANELA","OK"))))))</x:f>
        <x:v>OK</x:v>
      </x:c>
      <x:c r="O10" s="41" t="n">
        <x:f>IF(A10="","",IF(AND(ISNUMBER(V10),V10&gt;0),G10,""))</x:f>
        <x:v>46985</x:v>
      </x:c>
      <x:c r="P10" s="40" t="str">
        <x:f>IF(A10="","",IF(OR(U10&gt;0,Listas!$B$13&lt;&gt;"OK"),"REVISAR DADOS",IF(J10=0,"ARQUIVAR LOTE",IF(M10="Quarentena","DECIDIR LIBERAÇÃO",IF(M10="Bloqueado","SEGREGAR E INVESTIGAR",IF(M10="Esgotado","REVISAR STATUS COM SALDO",IF(N10="VENCIDO","SEGREGAR E AVALIAR DESTINAÇÃO",IF(OR(N10="CRÍTICO",N10="VENCE NA JANELA"),"PRIORIZAR FEFO","MANTER ROTAÇÃO"))))))))</x:f>
        <x:v>MANTER ROTAÇÃO</x:v>
      </x:c>
      <x:c r="Q10" s="27" t="str">
        <x:v>NF 15412</x:v>
      </x:c>
      <x:c r="R10" s="181" t="n">
        <x:f>IF(A10="","",IF(OR(U10&gt;0,Listas!$B$13&lt;&gt;"OK"),"n.a.",IF(OR(N10="VENCIDO",N10="CRÍTICO",N10="VENCE NA JANELA",M10="Quarentena",M10="Bloqueado"),L10,0)))</x:f>
        <x:v>0</x:v>
      </x:c>
      <x:c r="S10" s="163" t="str">
        <x:f>IF(COUNTA(A10:B10,D10:G10,I10,K10,M10,Q10,AB10:AD10)=0,"",IF(OR(A10="",COUNTIFS($A$5:$A$204,A10)&lt;&gt;1),"Lote ausente ou duplicado",IF(OR(B10="",COUNTIFS(Produtos!$A$5:$A$204,B10)&lt;&gt;1),"SKU ausente ou desconhecido",IF(COUNTIFS(Produtos!$A$5:$A$204,B10,Produtos!$R$5:$R$204,1)&gt;0,"Revisar cadastro do produto",IF(OR(NOT(ISNUMBER(E10)),E10&lt;=0,NOT(ISNUMBER(G10)),G10&lt;=0,G10&lt;E10),"Recebimento ou validade inválida",IF(AND(F10&lt;&gt;"",OR(NOT(ISNUMBER(F10)),F10&lt;=0,F10&gt;E10)),"Fabricação inválida ou posterior ao recebimento",IF(OR(NOT(ISNUMBER(K10)),K10&lt;0,NOT(ISNUMBER(I10)),I10&lt;0),"Quantidade recebida ou custo inválido",IF(AND(M10&lt;&gt;"Liberado",M10&lt;&gt;"Quarentena",M10&lt;&gt;"Bloqueado",M10&lt;&gt;"Esgotado"),"Status de lote inválido",""))))))))</x:f>
      </x:c>
      <x:c r="T10" s="163" t="n">
        <x:f>IF(A10="",0,COUNTIFS(Movimentacoes!$D$5:$D$304,A10,Movimentacoes!$P$5:$P$304,1))</x:f>
        <x:v>0</x:v>
      </x:c>
      <x:c r="U10" s="163" t="n">
        <x:f>IF(COUNTA(A10:B10,D10:G10,I10,K10,M10,Q10,AB10:AD10)=0,0,IF(OR(S10&lt;&gt;"",T10&gt;0),1,IF(ISNUMBER(J10),IF(OR(J10&lt;0,AND(J10&gt;0,M10="Esgotado")),1,0),0)))</x:f>
        <x:v>0</x:v>
      </x:c>
      <x:c r="V10" s="163" t="n">
        <x:f>IF(A10="","",IF(OR(U10&gt;0,Listas!$B$13&lt;&gt;"OK"),"n.a.",IF(AND(J10&gt;0,M10="Liberado",G10&gt;=Listas!$B$6),J10,0)))</x:f>
        <x:v>95</x:v>
      </x:c>
      <x:c r="W10" s="163" t="n">
        <x:f>IF(A10="","",IF(OR(U10&gt;0,Listas!$B$13&lt;&gt;"OK"),"n.a.",V10*K10))</x:f>
        <x:v>3277.5</x:v>
      </x:c>
      <x:c r="X10" s="167" t="n">
        <x:f>IF(COUNTA(A10:B10,D10:G10,I10,K10,M10,Q10,AB10:AD10)=0,0,IF(OR(Listas!$B$19="Todos",B10=Listas!$B$19,COUNTIFS(Produtos!$A$5:$A$204,B10)&lt;&gt;1),1,0))</x:f>
        <x:v>1</x:v>
      </x:c>
      <x:c r="Y10" s="167" t="str">
        <x:f>IF(X10=0,"",IF(Listas!$B$13&lt;&gt;"OK","Revisar parâmetros",IF(U10&gt;0,IF(S10&lt;&gt;"",S10,IF(T10&gt;0,"Revisar movimentos",IF(AND(ISNUMBER(J10),J10&lt;0),"Saldo negativo","Status esgotado com saldo"))),IF(AG10&lt;&gt;"",AG10&amp;". ","")&amp;IF(J10&lt;=0,"",IF(N10="VENCIDO","Validade vencida. ","")&amp;IF(M10="Quarentena","Em quarentena. ","")&amp;IF(M10="Bloqueado","Lote bloqueado. ","")&amp;IF(N10="CRÍTICO","Validade crítica. ","")&amp;IF(N10="VENCE NA JANELA","Vence na janela. ","")))))</x:f>
      </x:c>
      <x:c r="Z10" s="167" t="n">
        <x:f>IF(OR(X10=0,Y10=""),0,IF(OR(Listas!$B$13&lt;&gt;"OK",U10&gt;0,AH10&gt;0),1,IF(N10="VENCIDO",2,IF(OR(M10="Quarentena",M10="Bloqueado"),3,IF(N10="CRÍTICO",4,5)))))</x:f>
        <x:v>0</x:v>
      </x:c>
      <x:c r="AA10" s="167" t="n">
        <x:f>IF(Z10=0,0,COUNTIFS($Z$5:$Z$204,"&gt;0",$Z$5:$Z$204,"&lt;"&amp;Z10,$X$5:$X$204,1)+COUNTIFS($Z$5:Z10,Z10,$X$5:X10,1))</x:f>
        <x:v>0</x:v>
      </x:c>
      <x:c r="AB10" s="168"/>
      <x:c r="AC10" s="168"/>
      <x:c r="AD10" s="169"/>
      <x:c r="AE10" s="167" t="str">
        <x:f>IF(X10=0,"",IF(OR(U10&gt;0,Listas!$B$13&lt;&gt;"OK"),"Dados pendentes",IF(J10&lt;=0,"Sem saldo",IF(N10="VENCIDO","Vencidos",IF(OR(M10="Quarentena",M10="Bloqueado"),"Restritos vigentes",IF(OR(N10="CRÍTICO",N10="VENCE NA JANELA"),"Liberados na janela","Demais liberados"))))))</x:f>
        <x:v>Demais liberados</x:v>
      </x:c>
      <x:c r="AF10" s="167" t="str">
        <x:f>IF(A10&lt;&gt;"",A10,IF(U10&gt;0,"Sem ID (linha "&amp;ROW()&amp;")",""))</x:f>
        <x:v>LOT-P001</x:v>
      </x:c>
      <x:c r="AG10" s="167" t="str">
        <x:f>IF(AD10="","",IF(OR(NOT(ISNUMBER(AD10)),AD10&lt;=0),"Prazo da ação inválido",""))</x:f>
      </x:c>
      <x:c r="AH10" s="167" t="n">
        <x:f>IF(AG10="",0,1)</x:f>
        <x:v>0</x:v>
      </x:c>
    </x:row>
    <x:row r="11" ht="32" customHeight="1">
      <x:c r="A11" s="27" t="str">
        <x:v>LOT-D001</x:v>
      </x:c>
      <x:c r="B11" s="27" t="str">
        <x:v>SKU-004</x:v>
      </x:c>
      <x:c r="C11" s="40" t="str">
        <x:f>IF($B11="","",IFERROR(INDEX(Produtos!$B$5:$B$204,MATCH($B11,Produtos!$A$5:$A$204,0)),""))</x:f>
        <x:v>Detergente neutro 500 ml</x:v>
      </x:c>
      <x:c r="D11" s="170" t="str">
        <x:v>LimpaMais</x:v>
      </x:c>
      <x:c r="E11" s="179" t="n">
        <x:v>46130</x:v>
      </x:c>
      <x:c r="F11" s="179" t="n">
        <x:v>46111</x:v>
      </x:c>
      <x:c r="G11" s="179" t="n">
        <x:v>46290</x:v>
      </x:c>
      <x:c r="H11" s="40" t="n">
        <x:f>IF(A11="","",IF(OR(S11&lt;&gt;"",Listas!$B$13&lt;&gt;"OK"),"n.a.",G11-Listas!$B$6))</x:f>
        <x:v>-4</x:v>
      </x:c>
      <x:c r="I11" s="40" t="n">
        <x:v>260</x:v>
      </x:c>
      <x:c r="J11" s="40" t="n">
        <x:f>IF(A11="","",IF(OR(S11&lt;&gt;"",T11&gt;0,Listas!$B$13&lt;&gt;"OK"),"n.a.",SUMIFS(Movimentacoes!$H$5:$H$304,Movimentacoes!$D$5:$D$304,A11,Movimentacoes!$B$5:$B$304,"&lt;="&amp;Listas!$B$6)))</x:f>
        <x:v>30</x:v>
      </x:c>
      <x:c r="K11" s="180" t="n">
        <x:v>2.75</x:v>
      </x:c>
      <x:c r="L11" s="181" t="n">
        <x:f>IF(A11="","",IF(OR(U11&gt;0,Listas!$B$13&lt;&gt;"OK"),"n.a.",J11*K11))</x:f>
        <x:v>82.5</x:v>
      </x:c>
      <x:c r="M11" s="27" t="str">
        <x:v>Bloqueado</x:v>
      </x:c>
      <x:c r="N11" s="40" t="str">
        <x:f>IF(A11="","",IF(OR(U11&gt;0,Listas!$B$13&lt;&gt;"OK"),"REVISAR DADOS",IF(J11=0,"SEM SALDO",IF(G11&lt;Listas!$B$6,"VENCIDO",IF(H11&lt;=Listas!$B$7,"CRÍTICO",IF(H11&lt;=Listas!$B$8,"VENCE NA JANELA","OK"))))))</x:f>
        <x:v>VENCIDO</x:v>
      </x:c>
      <x:c r="O11" s="41" t="str">
        <x:f>IF(A11="","",IF(AND(ISNUMBER(V11),V11&gt;0),G11,""))</x:f>
      </x:c>
      <x:c r="P11" s="40" t="str">
        <x:f>IF(A11="","",IF(OR(U11&gt;0,Listas!$B$13&lt;&gt;"OK"),"REVISAR DADOS",IF(J11=0,"ARQUIVAR LOTE",IF(M11="Quarentena","DECIDIR LIBERAÇÃO",IF(M11="Bloqueado","SEGREGAR E INVESTIGAR",IF(M11="Esgotado","REVISAR STATUS COM SALDO",IF(N11="VENCIDO","SEGREGAR E AVALIAR DESTINAÇÃO",IF(OR(N11="CRÍTICO",N11="VENCE NA JANELA"),"PRIORIZAR FEFO","MANTER ROTAÇÃO"))))))))</x:f>
        <x:v>SEGREGAR E INVESTIGAR</x:v>
      </x:c>
      <x:c r="Q11" s="27" t="str">
        <x:v>NF 12988</x:v>
      </x:c>
      <x:c r="R11" s="181" t="n">
        <x:f>IF(A11="","",IF(OR(U11&gt;0,Listas!$B$13&lt;&gt;"OK"),"n.a.",IF(OR(N11="VENCIDO",N11="CRÍTICO",N11="VENCE NA JANELA",M11="Quarentena",M11="Bloqueado"),L11,0)))</x:f>
        <x:v>82.5</x:v>
      </x:c>
      <x:c r="S11" s="163" t="str">
        <x:f>IF(COUNTA(A11:B11,D11:G11,I11,K11,M11,Q11,AB11:AD11)=0,"",IF(OR(A11="",COUNTIFS($A$5:$A$204,A11)&lt;&gt;1),"Lote ausente ou duplicado",IF(OR(B11="",COUNTIFS(Produtos!$A$5:$A$204,B11)&lt;&gt;1),"SKU ausente ou desconhecido",IF(COUNTIFS(Produtos!$A$5:$A$204,B11,Produtos!$R$5:$R$204,1)&gt;0,"Revisar cadastro do produto",IF(OR(NOT(ISNUMBER(E11)),E11&lt;=0,NOT(ISNUMBER(G11)),G11&lt;=0,G11&lt;E11),"Recebimento ou validade inválida",IF(AND(F11&lt;&gt;"",OR(NOT(ISNUMBER(F11)),F11&lt;=0,F11&gt;E11)),"Fabricação inválida ou posterior ao recebimento",IF(OR(NOT(ISNUMBER(K11)),K11&lt;0,NOT(ISNUMBER(I11)),I11&lt;0),"Quantidade recebida ou custo inválido",IF(AND(M11&lt;&gt;"Liberado",M11&lt;&gt;"Quarentena",M11&lt;&gt;"Bloqueado",M11&lt;&gt;"Esgotado"),"Status de lote inválido",""))))))))</x:f>
      </x:c>
      <x:c r="T11" s="163" t="n">
        <x:f>IF(A11="",0,COUNTIFS(Movimentacoes!$D$5:$D$304,A11,Movimentacoes!$P$5:$P$304,1))</x:f>
        <x:v>0</x:v>
      </x:c>
      <x:c r="U11" s="163" t="n">
        <x:f>IF(COUNTA(A11:B11,D11:G11,I11,K11,M11,Q11,AB11:AD11)=0,0,IF(OR(S11&lt;&gt;"",T11&gt;0),1,IF(ISNUMBER(J11),IF(OR(J11&lt;0,AND(J11&gt;0,M11="Esgotado")),1,0),0)))</x:f>
        <x:v>0</x:v>
      </x:c>
      <x:c r="V11" s="163" t="n">
        <x:f>IF(A11="","",IF(OR(U11&gt;0,Listas!$B$13&lt;&gt;"OK"),"n.a.",IF(AND(J11&gt;0,M11="Liberado",G11&gt;=Listas!$B$6),J11,0)))</x:f>
        <x:v>0</x:v>
      </x:c>
      <x:c r="W11" s="163" t="n">
        <x:f>IF(A11="","",IF(OR(U11&gt;0,Listas!$B$13&lt;&gt;"OK"),"n.a.",V11*K11))</x:f>
        <x:v>0</x:v>
      </x:c>
      <x:c r="X11" s="167" t="n">
        <x:f>IF(COUNTA(A11:B11,D11:G11,I11,K11,M11,Q11,AB11:AD11)=0,0,IF(OR(Listas!$B$19="Todos",B11=Listas!$B$19,COUNTIFS(Produtos!$A$5:$A$204,B11)&lt;&gt;1),1,0))</x:f>
        <x:v>1</x:v>
      </x:c>
      <x:c r="Y11" s="167" t="str">
        <x:f>IF(X11=0,"",IF(Listas!$B$13&lt;&gt;"OK","Revisar parâmetros",IF(U11&gt;0,IF(S11&lt;&gt;"",S11,IF(T11&gt;0,"Revisar movimentos",IF(AND(ISNUMBER(J11),J11&lt;0),"Saldo negativo","Status esgotado com saldo"))),IF(AG11&lt;&gt;"",AG11&amp;". ","")&amp;IF(J11&lt;=0,"",IF(N11="VENCIDO","Validade vencida. ","")&amp;IF(M11="Quarentena","Em quarentena. ","")&amp;IF(M11="Bloqueado","Lote bloqueado. ","")&amp;IF(N11="CRÍTICO","Validade crítica. ","")&amp;IF(N11="VENCE NA JANELA","Vence na janela. ","")))))</x:f>
        <x:v>Validade vencida. Lote bloqueado. </x:v>
      </x:c>
      <x:c r="Z11" s="167" t="n">
        <x:f>IF(OR(X11=0,Y11=""),0,IF(OR(Listas!$B$13&lt;&gt;"OK",U11&gt;0,AH11&gt;0),1,IF(N11="VENCIDO",2,IF(OR(M11="Quarentena",M11="Bloqueado"),3,IF(N11="CRÍTICO",4,5)))))</x:f>
        <x:v>2</x:v>
      </x:c>
      <x:c r="AA11" s="167" t="n">
        <x:f>IF(Z11=0,0,COUNTIFS($Z$5:$Z$204,"&gt;0",$Z$5:$Z$204,"&lt;"&amp;Z11,$X$5:$X$204,1)+COUNTIFS($Z$5:Z11,Z11,$X$5:X11,1))</x:f>
        <x:v>2</x:v>
      </x:c>
      <x:c r="AB11" s="168" t="str">
        <x:v>Carla Nunes</x:v>
      </x:c>
      <x:c r="AC11" s="168" t="str">
        <x:v>Conferir bloqueio e causa</x:v>
      </x:c>
      <x:c r="AD11" s="169" t="n">
        <x:v>46294</x:v>
      </x:c>
      <x:c r="AE11" s="167" t="str">
        <x:f>IF(X11=0,"",IF(OR(U11&gt;0,Listas!$B$13&lt;&gt;"OK"),"Dados pendentes",IF(J11&lt;=0,"Sem saldo",IF(N11="VENCIDO","Vencidos",IF(OR(M11="Quarentena",M11="Bloqueado"),"Restritos vigentes",IF(OR(N11="CRÍTICO",N11="VENCE NA JANELA"),"Liberados na janela","Demais liberados"))))))</x:f>
        <x:v>Vencidos</x:v>
      </x:c>
      <x:c r="AF11" s="167" t="str">
        <x:f>IF(A11&lt;&gt;"",A11,IF(U11&gt;0,"Sem ID (linha "&amp;ROW()&amp;")",""))</x:f>
        <x:v>LOT-D001</x:v>
      </x:c>
      <x:c r="AG11" s="167" t="str">
        <x:f>IF(AD11="","",IF(OR(NOT(ISNUMBER(AD11)),AD11&lt;=0),"Prazo da ação inválido",""))</x:f>
      </x:c>
      <x:c r="AH11" s="167" t="n">
        <x:f>IF(AG11="",0,1)</x:f>
        <x:v>0</x:v>
      </x:c>
    </x:row>
    <x:row r="12" ht="32" customHeight="1">
      <x:c r="A12" s="27" t="str">
        <x:v>LOT-R001</x:v>
      </x:c>
      <x:c r="B12" s="27" t="str">
        <x:v>SKU-007</x:v>
      </x:c>
      <x:c r="C12" s="40" t="str">
        <x:f>IF($B12="","",IFERROR(INDEX(Produtos!$B$5:$B$204,MATCH($B12,Produtos!$A$5:$A$204,0)),""))</x:f>
        <x:v>Ração premium 10 kg</x:v>
      </x:c>
      <x:c r="D12" s="170" t="str">
        <x:v>PetNutri</x:v>
      </x:c>
      <x:c r="E12" s="179" t="n">
        <x:v>46246</x:v>
      </x:c>
      <x:c r="F12" s="179" t="n">
        <x:v>46231</x:v>
      </x:c>
      <x:c r="G12" s="179" t="n">
        <x:v>46415</x:v>
      </x:c>
      <x:c r="H12" s="40" t="n">
        <x:f>IF(A12="","",IF(OR(S12&lt;&gt;"",Listas!$B$13&lt;&gt;"OK"),"n.a.",G12-Listas!$B$6))</x:f>
        <x:v>121</x:v>
      </x:c>
      <x:c r="I12" s="40" t="n">
        <x:v>40</x:v>
      </x:c>
      <x:c r="J12" s="40" t="n">
        <x:f>IF(A12="","",IF(OR(S12&lt;&gt;"",T12&gt;0,Listas!$B$13&lt;&gt;"OK"),"n.a.",SUMIFS(Movimentacoes!$H$5:$H$304,Movimentacoes!$D$5:$D$304,A12,Movimentacoes!$B$5:$B$304,"&lt;="&amp;Listas!$B$6)))</x:f>
        <x:v>40</x:v>
      </x:c>
      <x:c r="K12" s="180" t="n">
        <x:v>119</x:v>
      </x:c>
      <x:c r="L12" s="181" t="n">
        <x:f>IF(A12="","",IF(OR(U12&gt;0,Listas!$B$13&lt;&gt;"OK"),"n.a.",J12*K12))</x:f>
        <x:v>4760</x:v>
      </x:c>
      <x:c r="M12" s="27" t="str">
        <x:v>Liberado</x:v>
      </x:c>
      <x:c r="N12" s="40" t="str">
        <x:f>IF(A12="","",IF(OR(U12&gt;0,Listas!$B$13&lt;&gt;"OK"),"REVISAR DADOS",IF(J12=0,"SEM SALDO",IF(G12&lt;Listas!$B$6,"VENCIDO",IF(H12&lt;=Listas!$B$7,"CRÍTICO",IF(H12&lt;=Listas!$B$8,"VENCE NA JANELA","OK"))))))</x:f>
        <x:v>OK</x:v>
      </x:c>
      <x:c r="O12" s="41" t="n">
        <x:f>IF(A12="","",IF(AND(ISNUMBER(V12),V12&gt;0),G12,""))</x:f>
        <x:v>46415</x:v>
      </x:c>
      <x:c r="P12" s="40" t="str">
        <x:f>IF(A12="","",IF(OR(U12&gt;0,Listas!$B$13&lt;&gt;"OK"),"REVISAR DADOS",IF(J12=0,"ARQUIVAR LOTE",IF(M12="Quarentena","DECIDIR LIBERAÇÃO",IF(M12="Bloqueado","SEGREGAR E INVESTIGAR",IF(M12="Esgotado","REVISAR STATUS COM SALDO",IF(N12="VENCIDO","SEGREGAR E AVALIAR DESTINAÇÃO",IF(OR(N12="CRÍTICO",N12="VENCE NA JANELA"),"PRIORIZAR FEFO","MANTER ROTAÇÃO"))))))))</x:f>
        <x:v>MANTER ROTAÇÃO</x:v>
      </x:c>
      <x:c r="Q12" s="27" t="str">
        <x:v>NF 14822</x:v>
      </x:c>
      <x:c r="R12" s="181" t="n">
        <x:f>IF(A12="","",IF(OR(U12&gt;0,Listas!$B$13&lt;&gt;"OK"),"n.a.",IF(OR(N12="VENCIDO",N12="CRÍTICO",N12="VENCE NA JANELA",M12="Quarentena",M12="Bloqueado"),L12,0)))</x:f>
        <x:v>0</x:v>
      </x:c>
      <x:c r="S12" s="163" t="str">
        <x:f>IF(COUNTA(A12:B12,D12:G12,I12,K12,M12,Q12,AB12:AD12)=0,"",IF(OR(A12="",COUNTIFS($A$5:$A$204,A12)&lt;&gt;1),"Lote ausente ou duplicado",IF(OR(B12="",COUNTIFS(Produtos!$A$5:$A$204,B12)&lt;&gt;1),"SKU ausente ou desconhecido",IF(COUNTIFS(Produtos!$A$5:$A$204,B12,Produtos!$R$5:$R$204,1)&gt;0,"Revisar cadastro do produto",IF(OR(NOT(ISNUMBER(E12)),E12&lt;=0,NOT(ISNUMBER(G12)),G12&lt;=0,G12&lt;E12),"Recebimento ou validade inválida",IF(AND(F12&lt;&gt;"",OR(NOT(ISNUMBER(F12)),F12&lt;=0,F12&gt;E12)),"Fabricação inválida ou posterior ao recebimento",IF(OR(NOT(ISNUMBER(K12)),K12&lt;0,NOT(ISNUMBER(I12)),I12&lt;0),"Quantidade recebida ou custo inválido",IF(AND(M12&lt;&gt;"Liberado",M12&lt;&gt;"Quarentena",M12&lt;&gt;"Bloqueado",M12&lt;&gt;"Esgotado"),"Status de lote inválido",""))))))))</x:f>
      </x:c>
      <x:c r="T12" s="163" t="n">
        <x:f>IF(A12="",0,COUNTIFS(Movimentacoes!$D$5:$D$304,A12,Movimentacoes!$P$5:$P$304,1))</x:f>
        <x:v>0</x:v>
      </x:c>
      <x:c r="U12" s="163" t="n">
        <x:f>IF(COUNTA(A12:B12,D12:G12,I12,K12,M12,Q12,AB12:AD12)=0,0,IF(OR(S12&lt;&gt;"",T12&gt;0),1,IF(ISNUMBER(J12),IF(OR(J12&lt;0,AND(J12&gt;0,M12="Esgotado")),1,0),0)))</x:f>
        <x:v>0</x:v>
      </x:c>
      <x:c r="V12" s="163" t="n">
        <x:f>IF(A12="","",IF(OR(U12&gt;0,Listas!$B$13&lt;&gt;"OK"),"n.a.",IF(AND(J12&gt;0,M12="Liberado",G12&gt;=Listas!$B$6),J12,0)))</x:f>
        <x:v>40</x:v>
      </x:c>
      <x:c r="W12" s="163" t="n">
        <x:f>IF(A12="","",IF(OR(U12&gt;0,Listas!$B$13&lt;&gt;"OK"),"n.a.",V12*K12))</x:f>
        <x:v>4760</x:v>
      </x:c>
      <x:c r="X12" s="167" t="n">
        <x:f>IF(COUNTA(A12:B12,D12:G12,I12,K12,M12,Q12,AB12:AD12)=0,0,IF(OR(Listas!$B$19="Todos",B12=Listas!$B$19,COUNTIFS(Produtos!$A$5:$A$204,B12)&lt;&gt;1),1,0))</x:f>
        <x:v>1</x:v>
      </x:c>
      <x:c r="Y12" s="167" t="str">
        <x:f>IF(X12=0,"",IF(Listas!$B$13&lt;&gt;"OK","Revisar parâmetros",IF(U12&gt;0,IF(S12&lt;&gt;"",S12,IF(T12&gt;0,"Revisar movimentos",IF(AND(ISNUMBER(J12),J12&lt;0),"Saldo negativo","Status esgotado com saldo"))),IF(AG12&lt;&gt;"",AG12&amp;". ","")&amp;IF(J12&lt;=0,"",IF(N12="VENCIDO","Validade vencida. ","")&amp;IF(M12="Quarentena","Em quarentena. ","")&amp;IF(M12="Bloqueado","Lote bloqueado. ","")&amp;IF(N12="CRÍTICO","Validade crítica. ","")&amp;IF(N12="VENCE NA JANELA","Vence na janela. ","")))))</x:f>
      </x:c>
      <x:c r="Z12" s="167" t="n">
        <x:f>IF(OR(X12=0,Y12=""),0,IF(OR(Listas!$B$13&lt;&gt;"OK",U12&gt;0,AH12&gt;0),1,IF(N12="VENCIDO",2,IF(OR(M12="Quarentena",M12="Bloqueado"),3,IF(N12="CRÍTICO",4,5)))))</x:f>
        <x:v>0</x:v>
      </x:c>
      <x:c r="AA12" s="167" t="n">
        <x:f>IF(Z12=0,0,COUNTIFS($Z$5:$Z$204,"&gt;0",$Z$5:$Z$204,"&lt;"&amp;Z12,$X$5:$X$204,1)+COUNTIFS($Z$5:Z12,Z12,$X$5:X12,1))</x:f>
        <x:v>0</x:v>
      </x:c>
      <x:c r="AB12" s="168"/>
      <x:c r="AC12" s="168"/>
      <x:c r="AD12" s="169"/>
      <x:c r="AE12" s="167" t="str">
        <x:f>IF(X12=0,"",IF(OR(U12&gt;0,Listas!$B$13&lt;&gt;"OK"),"Dados pendentes",IF(J12&lt;=0,"Sem saldo",IF(N12="VENCIDO","Vencidos",IF(OR(M12="Quarentena",M12="Bloqueado"),"Restritos vigentes",IF(OR(N12="CRÍTICO",N12="VENCE NA JANELA"),"Liberados na janela","Demais liberados"))))))</x:f>
        <x:v>Demais liberados</x:v>
      </x:c>
      <x:c r="AF12" s="167" t="str">
        <x:f>IF(A12&lt;&gt;"",A12,IF(U12&gt;0,"Sem ID (linha "&amp;ROW()&amp;")",""))</x:f>
        <x:v>LOT-R001</x:v>
      </x:c>
      <x:c r="AG12" s="167" t="str">
        <x:f>IF(AD12="","",IF(OR(NOT(ISNUMBER(AD12)),AD12&lt;=0),"Prazo da ação inválido",""))</x:f>
      </x:c>
      <x:c r="AH12" s="167" t="n">
        <x:f>IF(AG12="",0,1)</x:f>
        <x:v>0</x:v>
      </x:c>
    </x:row>
    <x:row r="13" ht="32" customHeight="1">
      <x:c r="A13" s="27" t="str">
        <x:v>LOT-DS01</x:v>
      </x:c>
      <x:c r="B13" s="27" t="str">
        <x:v>SKU-008</x:v>
      </x:c>
      <x:c r="C13" s="40" t="str">
        <x:f>IF($B13="","",IFERROR(INDEX(Produtos!$B$5:$B$204,MATCH($B13,Produtos!$A$5:$A$204,0)),""))</x:f>
        <x:v>Desinfetante 2 L</x:v>
      </x:c>
      <x:c r="D13" s="170" t="str">
        <x:v>LimpaMais</x:v>
      </x:c>
      <x:c r="E13" s="179" t="n">
        <x:v>46259</x:v>
      </x:c>
      <x:c r="F13" s="179" t="n">
        <x:v>46236</x:v>
      </x:c>
      <x:c r="G13" s="179" t="n">
        <x:v>46328</x:v>
      </x:c>
      <x:c r="H13" s="40" t="n">
        <x:f>IF(A13="","",IF(OR(S13&lt;&gt;"",Listas!$B$13&lt;&gt;"OK"),"n.a.",G13-Listas!$B$6))</x:f>
        <x:v>34</x:v>
      </x:c>
      <x:c r="I13" s="40" t="n">
        <x:v>180</x:v>
      </x:c>
      <x:c r="J13" s="40" t="n">
        <x:f>IF(A13="","",IF(OR(S13&lt;&gt;"",T13&gt;0,Listas!$B$13&lt;&gt;"OK"),"n.a.",SUMIFS(Movimentacoes!$H$5:$H$304,Movimentacoes!$D$5:$D$304,A13,Movimentacoes!$B$5:$B$304,"&lt;="&amp;Listas!$B$6)))</x:f>
        <x:v>180</x:v>
      </x:c>
      <x:c r="K13" s="180" t="n">
        <x:v>8.4</x:v>
      </x:c>
      <x:c r="L13" s="181" t="n">
        <x:f>IF(A13="","",IF(OR(U13&gt;0,Listas!$B$13&lt;&gt;"OK"),"n.a.",J13*K13))</x:f>
        <x:v>1512</x:v>
      </x:c>
      <x:c r="M13" s="27" t="str">
        <x:v>Liberado</x:v>
      </x:c>
      <x:c r="N13" s="40" t="str">
        <x:f>IF(A13="","",IF(OR(U13&gt;0,Listas!$B$13&lt;&gt;"OK"),"REVISAR DADOS",IF(J13=0,"SEM SALDO",IF(G13&lt;Listas!$B$6,"VENCIDO",IF(H13&lt;=Listas!$B$7,"CRÍTICO",IF(H13&lt;=Listas!$B$8,"VENCE NA JANELA","OK"))))))</x:f>
        <x:v>OK</x:v>
      </x:c>
      <x:c r="O13" s="41" t="n">
        <x:f>IF(A13="","",IF(AND(ISNUMBER(V13),V13&gt;0),G13,""))</x:f>
        <x:v>46328</x:v>
      </x:c>
      <x:c r="P13" s="40" t="str">
        <x:f>IF(A13="","",IF(OR(U13&gt;0,Listas!$B$13&lt;&gt;"OK"),"REVISAR DADOS",IF(J13=0,"ARQUIVAR LOTE",IF(M13="Quarentena","DECIDIR LIBERAÇÃO",IF(M13="Bloqueado","SEGREGAR E INVESTIGAR",IF(M13="Esgotado","REVISAR STATUS COM SALDO",IF(N13="VENCIDO","SEGREGAR E AVALIAR DESTINAÇÃO",IF(OR(N13="CRÍTICO",N13="VENCE NA JANELA"),"PRIORIZAR FEFO","MANTER ROTAÇÃO"))))))))</x:f>
        <x:v>MANTER ROTAÇÃO</x:v>
      </x:c>
      <x:c r="Q13" s="27" t="str">
        <x:v>NF 14930</x:v>
      </x:c>
      <x:c r="R13" s="181" t="n">
        <x:f>IF(A13="","",IF(OR(U13&gt;0,Listas!$B$13&lt;&gt;"OK"),"n.a.",IF(OR(N13="VENCIDO",N13="CRÍTICO",N13="VENCE NA JANELA",M13="Quarentena",M13="Bloqueado"),L13,0)))</x:f>
        <x:v>0</x:v>
      </x:c>
      <x:c r="S13" s="163" t="str">
        <x:f>IF(COUNTA(A13:B13,D13:G13,I13,K13,M13,Q13,AB13:AD13)=0,"",IF(OR(A13="",COUNTIFS($A$5:$A$204,A13)&lt;&gt;1),"Lote ausente ou duplicado",IF(OR(B13="",COUNTIFS(Produtos!$A$5:$A$204,B13)&lt;&gt;1),"SKU ausente ou desconhecido",IF(COUNTIFS(Produtos!$A$5:$A$204,B13,Produtos!$R$5:$R$204,1)&gt;0,"Revisar cadastro do produto",IF(OR(NOT(ISNUMBER(E13)),E13&lt;=0,NOT(ISNUMBER(G13)),G13&lt;=0,G13&lt;E13),"Recebimento ou validade inválida",IF(AND(F13&lt;&gt;"",OR(NOT(ISNUMBER(F13)),F13&lt;=0,F13&gt;E13)),"Fabricação inválida ou posterior ao recebimento",IF(OR(NOT(ISNUMBER(K13)),K13&lt;0,NOT(ISNUMBER(I13)),I13&lt;0),"Quantidade recebida ou custo inválido",IF(AND(M13&lt;&gt;"Liberado",M13&lt;&gt;"Quarentena",M13&lt;&gt;"Bloqueado",M13&lt;&gt;"Esgotado"),"Status de lote inválido",""))))))))</x:f>
      </x:c>
      <x:c r="T13" s="163" t="n">
        <x:f>IF(A13="",0,COUNTIFS(Movimentacoes!$D$5:$D$304,A13,Movimentacoes!$P$5:$P$304,1))</x:f>
        <x:v>0</x:v>
      </x:c>
      <x:c r="U13" s="163" t="n">
        <x:f>IF(COUNTA(A13:B13,D13:G13,I13,K13,M13,Q13,AB13:AD13)=0,0,IF(OR(S13&lt;&gt;"",T13&gt;0),1,IF(ISNUMBER(J13),IF(OR(J13&lt;0,AND(J13&gt;0,M13="Esgotado")),1,0),0)))</x:f>
        <x:v>0</x:v>
      </x:c>
      <x:c r="V13" s="163" t="n">
        <x:f>IF(A13="","",IF(OR(U13&gt;0,Listas!$B$13&lt;&gt;"OK"),"n.a.",IF(AND(J13&gt;0,M13="Liberado",G13&gt;=Listas!$B$6),J13,0)))</x:f>
        <x:v>180</x:v>
      </x:c>
      <x:c r="W13" s="163" t="n">
        <x:f>IF(A13="","",IF(OR(U13&gt;0,Listas!$B$13&lt;&gt;"OK"),"n.a.",V13*K13))</x:f>
        <x:v>1512</x:v>
      </x:c>
      <x:c r="X13" s="167" t="n">
        <x:f>IF(COUNTA(A13:B13,D13:G13,I13,K13,M13,Q13,AB13:AD13)=0,0,IF(OR(Listas!$B$19="Todos",B13=Listas!$B$19,COUNTIFS(Produtos!$A$5:$A$204,B13)&lt;&gt;1),1,0))</x:f>
        <x:v>1</x:v>
      </x:c>
      <x:c r="Y13" s="167" t="str">
        <x:f>IF(X13=0,"",IF(Listas!$B$13&lt;&gt;"OK","Revisar parâmetros",IF(U13&gt;0,IF(S13&lt;&gt;"",S13,IF(T13&gt;0,"Revisar movimentos",IF(AND(ISNUMBER(J13),J13&lt;0),"Saldo negativo","Status esgotado com saldo"))),IF(AG13&lt;&gt;"",AG13&amp;". ","")&amp;IF(J13&lt;=0,"",IF(N13="VENCIDO","Validade vencida. ","")&amp;IF(M13="Quarentena","Em quarentena. ","")&amp;IF(M13="Bloqueado","Lote bloqueado. ","")&amp;IF(N13="CRÍTICO","Validade crítica. ","")&amp;IF(N13="VENCE NA JANELA","Vence na janela. ","")))))</x:f>
      </x:c>
      <x:c r="Z13" s="167" t="n">
        <x:f>IF(OR(X13=0,Y13=""),0,IF(OR(Listas!$B$13&lt;&gt;"OK",U13&gt;0,AH13&gt;0),1,IF(N13="VENCIDO",2,IF(OR(M13="Quarentena",M13="Bloqueado"),3,IF(N13="CRÍTICO",4,5)))))</x:f>
        <x:v>0</x:v>
      </x:c>
      <x:c r="AA13" s="167" t="n">
        <x:f>IF(Z13=0,0,COUNTIFS($Z$5:$Z$204,"&gt;0",$Z$5:$Z$204,"&lt;"&amp;Z13,$X$5:$X$204,1)+COUNTIFS($Z$5:Z13,Z13,$X$5:X13,1))</x:f>
        <x:v>0</x:v>
      </x:c>
      <x:c r="AB13" s="168"/>
      <x:c r="AC13" s="168"/>
      <x:c r="AD13" s="169"/>
      <x:c r="AE13" s="167" t="str">
        <x:f>IF(X13=0,"",IF(OR(U13&gt;0,Listas!$B$13&lt;&gt;"OK"),"Dados pendentes",IF(J13&lt;=0,"Sem saldo",IF(N13="VENCIDO","Vencidos",IF(OR(M13="Quarentena",M13="Bloqueado"),"Restritos vigentes",IF(OR(N13="CRÍTICO",N13="VENCE NA JANELA"),"Liberados na janela","Demais liberados"))))))</x:f>
        <x:v>Demais liberados</x:v>
      </x:c>
      <x:c r="AF13" s="167" t="str">
        <x:f>IF(A13&lt;&gt;"",A13,IF(U13&gt;0,"Sem ID (linha "&amp;ROW()&amp;")",""))</x:f>
        <x:v>LOT-DS01</x:v>
      </x:c>
      <x:c r="AG13" s="167" t="str">
        <x:f>IF(AD13="","",IF(OR(NOT(ISNUMBER(AD13)),AD13&lt;=0),"Prazo da ação inválido",""))</x:f>
      </x:c>
      <x:c r="AH13" s="167" t="n">
        <x:f>IF(AG13="",0,1)</x:f>
        <x:v>0</x:v>
      </x:c>
    </x:row>
    <x:row r="14" ht="32" customHeight="1">
      <x:c r="A14" s="27" t="str">
        <x:v>LOT-A002</x:v>
      </x:c>
      <x:c r="B14" s="27" t="str">
        <x:v>SKU-003</x:v>
      </x:c>
      <x:c r="C14" s="40" t="str">
        <x:f>IF($B14="","",IFERROR(INDEX(Produtos!$B$5:$B$204,MATCH($B14,Produtos!$A$5:$A$204,0)),""))</x:f>
        <x:v>Álcool 70% 500 ml</x:v>
      </x:c>
      <x:c r="D14" s="170" t="str">
        <x:v>Química Sul</x:v>
      </x:c>
      <x:c r="E14" s="179" t="n">
        <x:v>46285</x:v>
      </x:c>
      <x:c r="F14" s="179" t="n">
        <x:v>46266</x:v>
      </x:c>
      <x:c r="G14" s="179" t="n">
        <x:v>46631</x:v>
      </x:c>
      <x:c r="H14" s="40" t="n">
        <x:f>IF(A14="","",IF(OR(S14&lt;&gt;"",Listas!$B$13&lt;&gt;"OK"),"n.a.",G14-Listas!$B$6))</x:f>
        <x:v>337</x:v>
      </x:c>
      <x:c r="I14" s="40" t="n">
        <x:v>0</x:v>
      </x:c>
      <x:c r="J14" s="40" t="n">
        <x:f>IF(A14="","",IF(OR(S14&lt;&gt;"",T14&gt;0,Listas!$B$13&lt;&gt;"OK"),"n.a.",SUMIFS(Movimentacoes!$H$5:$H$304,Movimentacoes!$D$5:$D$304,A14,Movimentacoes!$B$5:$B$304,"&lt;="&amp;Listas!$B$6)))</x:f>
        <x:v>0</x:v>
      </x:c>
      <x:c r="K14" s="180" t="n">
        <x:v>6.75</x:v>
      </x:c>
      <x:c r="L14" s="181" t="n">
        <x:f>IF(A14="","",IF(OR(U14&gt;0,Listas!$B$13&lt;&gt;"OK"),"n.a.",J14*K14))</x:f>
        <x:v>0</x:v>
      </x:c>
      <x:c r="M14" s="27" t="str">
        <x:v>Esgotado</x:v>
      </x:c>
      <x:c r="N14" s="40" t="str">
        <x:f>IF(A14="","",IF(OR(U14&gt;0,Listas!$B$13&lt;&gt;"OK"),"REVISAR DADOS",IF(J14=0,"SEM SALDO",IF(G14&lt;Listas!$B$6,"VENCIDO",IF(H14&lt;=Listas!$B$7,"CRÍTICO",IF(H14&lt;=Listas!$B$8,"VENCE NA JANELA","OK"))))))</x:f>
        <x:v>SEM SALDO</x:v>
      </x:c>
      <x:c r="O14" s="41" t="str">
        <x:f>IF(A14="","",IF(AND(ISNUMBER(V14),V14&gt;0),G14,""))</x:f>
      </x:c>
      <x:c r="P14" s="40" t="str">
        <x:f>IF(A14="","",IF(OR(U14&gt;0,Listas!$B$13&lt;&gt;"OK"),"REVISAR DADOS",IF(J14=0,"ARQUIVAR LOTE",IF(M14="Quarentena","DECIDIR LIBERAÇÃO",IF(M14="Bloqueado","SEGREGAR E INVESTIGAR",IF(M14="Esgotado","REVISAR STATUS COM SALDO",IF(N14="VENCIDO","SEGREGAR E AVALIAR DESTINAÇÃO",IF(OR(N14="CRÍTICO",N14="VENCE NA JANELA"),"PRIORIZAR FEFO","MANTER ROTAÇÃO"))))))))</x:f>
        <x:v>ARQUIVAR LOTE</x:v>
      </x:c>
      <x:c r="Q14" s="27" t="str">
        <x:v>NF 15602</x:v>
      </x:c>
      <x:c r="R14" s="181" t="n">
        <x:f>IF(A14="","",IF(OR(U14&gt;0,Listas!$B$13&lt;&gt;"OK"),"n.a.",IF(OR(N14="VENCIDO",N14="CRÍTICO",N14="VENCE NA JANELA",M14="Quarentena",M14="Bloqueado"),L14,0)))</x:f>
        <x:v>0</x:v>
      </x:c>
      <x:c r="S14" s="163" t="str">
        <x:f>IF(COUNTA(A14:B14,D14:G14,I14,K14,M14,Q14,AB14:AD14)=0,"",IF(OR(A14="",COUNTIFS($A$5:$A$204,A14)&lt;&gt;1),"Lote ausente ou duplicado",IF(OR(B14="",COUNTIFS(Produtos!$A$5:$A$204,B14)&lt;&gt;1),"SKU ausente ou desconhecido",IF(COUNTIFS(Produtos!$A$5:$A$204,B14,Produtos!$R$5:$R$204,1)&gt;0,"Revisar cadastro do produto",IF(OR(NOT(ISNUMBER(E14)),E14&lt;=0,NOT(ISNUMBER(G14)),G14&lt;=0,G14&lt;E14),"Recebimento ou validade inválida",IF(AND(F14&lt;&gt;"",OR(NOT(ISNUMBER(F14)),F14&lt;=0,F14&gt;E14)),"Fabricação inválida ou posterior ao recebimento",IF(OR(NOT(ISNUMBER(K14)),K14&lt;0,NOT(ISNUMBER(I14)),I14&lt;0),"Quantidade recebida ou custo inválido",IF(AND(M14&lt;&gt;"Liberado",M14&lt;&gt;"Quarentena",M14&lt;&gt;"Bloqueado",M14&lt;&gt;"Esgotado"),"Status de lote inválido",""))))))))</x:f>
      </x:c>
      <x:c r="T14" s="163" t="n">
        <x:f>IF(A14="",0,COUNTIFS(Movimentacoes!$D$5:$D$304,A14,Movimentacoes!$P$5:$P$304,1))</x:f>
        <x:v>0</x:v>
      </x:c>
      <x:c r="U14" s="163" t="n">
        <x:f>IF(COUNTA(A14:B14,D14:G14,I14,K14,M14,Q14,AB14:AD14)=0,0,IF(OR(S14&lt;&gt;"",T14&gt;0),1,IF(ISNUMBER(J14),IF(OR(J14&lt;0,AND(J14&gt;0,M14="Esgotado")),1,0),0)))</x:f>
        <x:v>0</x:v>
      </x:c>
      <x:c r="V14" s="163" t="n">
        <x:f>IF(A14="","",IF(OR(U14&gt;0,Listas!$B$13&lt;&gt;"OK"),"n.a.",IF(AND(J14&gt;0,M14="Liberado",G14&gt;=Listas!$B$6),J14,0)))</x:f>
        <x:v>0</x:v>
      </x:c>
      <x:c r="W14" s="163" t="n">
        <x:f>IF(A14="","",IF(OR(U14&gt;0,Listas!$B$13&lt;&gt;"OK"),"n.a.",V14*K14))</x:f>
        <x:v>0</x:v>
      </x:c>
      <x:c r="X14" s="167" t="n">
        <x:f>IF(COUNTA(A14:B14,D14:G14,I14,K14,M14,Q14,AB14:AD14)=0,0,IF(OR(Listas!$B$19="Todos",B14=Listas!$B$19,COUNTIFS(Produtos!$A$5:$A$204,B14)&lt;&gt;1),1,0))</x:f>
        <x:v>1</x:v>
      </x:c>
      <x:c r="Y14" s="167" t="str">
        <x:f>IF(X14=0,"",IF(Listas!$B$13&lt;&gt;"OK","Revisar parâmetros",IF(U14&gt;0,IF(S14&lt;&gt;"",S14,IF(T14&gt;0,"Revisar movimentos",IF(AND(ISNUMBER(J14),J14&lt;0),"Saldo negativo","Status esgotado com saldo"))),IF(AG14&lt;&gt;"",AG14&amp;". ","")&amp;IF(J14&lt;=0,"",IF(N14="VENCIDO","Validade vencida. ","")&amp;IF(M14="Quarentena","Em quarentena. ","")&amp;IF(M14="Bloqueado","Lote bloqueado. ","")&amp;IF(N14="CRÍTICO","Validade crítica. ","")&amp;IF(N14="VENCE NA JANELA","Vence na janela. ","")))))</x:f>
      </x:c>
      <x:c r="Z14" s="167" t="n">
        <x:f>IF(OR(X14=0,Y14=""),0,IF(OR(Listas!$B$13&lt;&gt;"OK",U14&gt;0,AH14&gt;0),1,IF(N14="VENCIDO",2,IF(OR(M14="Quarentena",M14="Bloqueado"),3,IF(N14="CRÍTICO",4,5)))))</x:f>
        <x:v>0</x:v>
      </x:c>
      <x:c r="AA14" s="167" t="n">
        <x:f>IF(Z14=0,0,COUNTIFS($Z$5:$Z$204,"&gt;0",$Z$5:$Z$204,"&lt;"&amp;Z14,$X$5:$X$204,1)+COUNTIFS($Z$5:Z14,Z14,$X$5:X14,1))</x:f>
        <x:v>0</x:v>
      </x:c>
      <x:c r="AB14" s="168"/>
      <x:c r="AC14" s="168"/>
      <x:c r="AD14" s="169"/>
      <x:c r="AE14" s="167" t="str">
        <x:f>IF(X14=0,"",IF(OR(U14&gt;0,Listas!$B$13&lt;&gt;"OK"),"Dados pendentes",IF(J14&lt;=0,"Sem saldo",IF(N14="VENCIDO","Vencidos",IF(OR(M14="Quarentena",M14="Bloqueado"),"Restritos vigentes",IF(OR(N14="CRÍTICO",N14="VENCE NA JANELA"),"Liberados na janela","Demais liberados"))))))</x:f>
        <x:v>Sem saldo</x:v>
      </x:c>
      <x:c r="AF14" s="167" t="str">
        <x:f>IF(A14&lt;&gt;"",A14,IF(U14&gt;0,"Sem ID (linha "&amp;ROW()&amp;")",""))</x:f>
        <x:v>LOT-A002</x:v>
      </x:c>
      <x:c r="AG14" s="167" t="str">
        <x:f>IF(AD14="","",IF(OR(NOT(ISNUMBER(AD14)),AD14&lt;=0),"Prazo da ação inválido",""))</x:f>
      </x:c>
      <x:c r="AH14" s="167" t="n">
        <x:f>IF(AG14="",0,1)</x:f>
        <x:v>0</x:v>
      </x:c>
    </x:row>
    <x:row r="15" ht="32" customHeight="1">
      <x:c r="A15" s="27" t="str">
        <x:v>LOT-S002</x:v>
      </x:c>
      <x:c r="B15" s="27" t="str">
        <x:v>SKU-002</x:v>
      </x:c>
      <x:c r="C15" s="40" t="str">
        <x:f>IF($B15="","",IFERROR(INDEX(Produtos!$B$5:$B$204,MATCH($B15,Produtos!$A$5:$A$204,0)),""))</x:f>
        <x:v>Suco integral 1 L</x:v>
      </x:c>
      <x:c r="D15" s="170" t="str">
        <x:v>Sucos Vale</x:v>
      </x:c>
      <x:c r="E15" s="179" t="n">
        <x:v>46290</x:v>
      </x:c>
      <x:c r="F15" s="179" t="n">
        <x:v>46275</x:v>
      </x:c>
      <x:c r="G15" s="179" t="n">
        <x:v>46456</x:v>
      </x:c>
      <x:c r="H15" s="40" t="n">
        <x:f>IF(A15="","",IF(OR(S15&lt;&gt;"",Listas!$B$13&lt;&gt;"OK"),"n.a.",G15-Listas!$B$6))</x:f>
        <x:v>162</x:v>
      </x:c>
      <x:c r="I15" s="40" t="n">
        <x:v>0</x:v>
      </x:c>
      <x:c r="J15" s="40" t="n">
        <x:f>IF(A15="","",IF(OR(S15&lt;&gt;"",T15&gt;0,Listas!$B$13&lt;&gt;"OK"),"n.a.",SUMIFS(Movimentacoes!$H$5:$H$304,Movimentacoes!$D$5:$D$304,A15,Movimentacoes!$B$5:$B$304,"&lt;="&amp;Listas!$B$6)))</x:f>
        <x:v>0</x:v>
      </x:c>
      <x:c r="K15" s="180" t="n">
        <x:v>57.1</x:v>
      </x:c>
      <x:c r="L15" s="181" t="n">
        <x:f>IF(A15="","",IF(OR(U15&gt;0,Listas!$B$13&lt;&gt;"OK"),"n.a.",J15*K15))</x:f>
        <x:v>0</x:v>
      </x:c>
      <x:c r="M15" s="27" t="str">
        <x:v>Esgotado</x:v>
      </x:c>
      <x:c r="N15" s="40" t="str">
        <x:f>IF(A15="","",IF(OR(U15&gt;0,Listas!$B$13&lt;&gt;"OK"),"REVISAR DADOS",IF(J15=0,"SEM SALDO",IF(G15&lt;Listas!$B$6,"VENCIDO",IF(H15&lt;=Listas!$B$7,"CRÍTICO",IF(H15&lt;=Listas!$B$8,"VENCE NA JANELA","OK"))))))</x:f>
        <x:v>SEM SALDO</x:v>
      </x:c>
      <x:c r="O15" s="41" t="str">
        <x:f>IF(A15="","",IF(AND(ISNUMBER(V15),V15&gt;0),G15,""))</x:f>
      </x:c>
      <x:c r="P15" s="40" t="str">
        <x:f>IF(A15="","",IF(OR(U15&gt;0,Listas!$B$13&lt;&gt;"OK"),"REVISAR DADOS",IF(J15=0,"ARQUIVAR LOTE",IF(M15="Quarentena","DECIDIR LIBERAÇÃO",IF(M15="Bloqueado","SEGREGAR E INVESTIGAR",IF(M15="Esgotado","REVISAR STATUS COM SALDO",IF(N15="VENCIDO","SEGREGAR E AVALIAR DESTINAÇÃO",IF(OR(N15="CRÍTICO",N15="VENCE NA JANELA"),"PRIORIZAR FEFO","MANTER ROTAÇÃO"))))))))</x:f>
        <x:v>ARQUIVAR LOTE</x:v>
      </x:c>
      <x:c r="Q15" s="27" t="str">
        <x:v>NF 15690</x:v>
      </x:c>
      <x:c r="R15" s="181" t="n">
        <x:f>IF(A15="","",IF(OR(U15&gt;0,Listas!$B$13&lt;&gt;"OK"),"n.a.",IF(OR(N15="VENCIDO",N15="CRÍTICO",N15="VENCE NA JANELA",M15="Quarentena",M15="Bloqueado"),L15,0)))</x:f>
        <x:v>0</x:v>
      </x:c>
      <x:c r="S15" s="163" t="str">
        <x:f>IF(COUNTA(A15:B15,D15:G15,I15,K15,M15,Q15,AB15:AD15)=0,"",IF(OR(A15="",COUNTIFS($A$5:$A$204,A15)&lt;&gt;1),"Lote ausente ou duplicado",IF(OR(B15="",COUNTIFS(Produtos!$A$5:$A$204,B15)&lt;&gt;1),"SKU ausente ou desconhecido",IF(COUNTIFS(Produtos!$A$5:$A$204,B15,Produtos!$R$5:$R$204,1)&gt;0,"Revisar cadastro do produto",IF(OR(NOT(ISNUMBER(E15)),E15&lt;=0,NOT(ISNUMBER(G15)),G15&lt;=0,G15&lt;E15),"Recebimento ou validade inválida",IF(AND(F15&lt;&gt;"",OR(NOT(ISNUMBER(F15)),F15&lt;=0,F15&gt;E15)),"Fabricação inválida ou posterior ao recebimento",IF(OR(NOT(ISNUMBER(K15)),K15&lt;0,NOT(ISNUMBER(I15)),I15&lt;0),"Quantidade recebida ou custo inválido",IF(AND(M15&lt;&gt;"Liberado",M15&lt;&gt;"Quarentena",M15&lt;&gt;"Bloqueado",M15&lt;&gt;"Esgotado"),"Status de lote inválido",""))))))))</x:f>
      </x:c>
      <x:c r="T15" s="163" t="n">
        <x:f>IF(A15="",0,COUNTIFS(Movimentacoes!$D$5:$D$304,A15,Movimentacoes!$P$5:$P$304,1))</x:f>
        <x:v>0</x:v>
      </x:c>
      <x:c r="U15" s="163" t="n">
        <x:f>IF(COUNTA(A15:B15,D15:G15,I15,K15,M15,Q15,AB15:AD15)=0,0,IF(OR(S15&lt;&gt;"",T15&gt;0),1,IF(ISNUMBER(J15),IF(OR(J15&lt;0,AND(J15&gt;0,M15="Esgotado")),1,0),0)))</x:f>
        <x:v>0</x:v>
      </x:c>
      <x:c r="V15" s="163" t="n">
        <x:f>IF(A15="","",IF(OR(U15&gt;0,Listas!$B$13&lt;&gt;"OK"),"n.a.",IF(AND(J15&gt;0,M15="Liberado",G15&gt;=Listas!$B$6),J15,0)))</x:f>
        <x:v>0</x:v>
      </x:c>
      <x:c r="W15" s="163" t="n">
        <x:f>IF(A15="","",IF(OR(U15&gt;0,Listas!$B$13&lt;&gt;"OK"),"n.a.",V15*K15))</x:f>
        <x:v>0</x:v>
      </x:c>
      <x:c r="X15" s="167" t="n">
        <x:f>IF(COUNTA(A15:B15,D15:G15,I15,K15,M15,Q15,AB15:AD15)=0,0,IF(OR(Listas!$B$19="Todos",B15=Listas!$B$19,COUNTIFS(Produtos!$A$5:$A$204,B15)&lt;&gt;1),1,0))</x:f>
        <x:v>1</x:v>
      </x:c>
      <x:c r="Y15" s="167" t="str">
        <x:f>IF(X15=0,"",IF(Listas!$B$13&lt;&gt;"OK","Revisar parâmetros",IF(U15&gt;0,IF(S15&lt;&gt;"",S15,IF(T15&gt;0,"Revisar movimentos",IF(AND(ISNUMBER(J15),J15&lt;0),"Saldo negativo","Status esgotado com saldo"))),IF(AG15&lt;&gt;"",AG15&amp;". ","")&amp;IF(J15&lt;=0,"",IF(N15="VENCIDO","Validade vencida. ","")&amp;IF(M15="Quarentena","Em quarentena. ","")&amp;IF(M15="Bloqueado","Lote bloqueado. ","")&amp;IF(N15="CRÍTICO","Validade crítica. ","")&amp;IF(N15="VENCE NA JANELA","Vence na janela. ","")))))</x:f>
      </x:c>
      <x:c r="Z15" s="167" t="n">
        <x:f>IF(OR(X15=0,Y15=""),0,IF(OR(Listas!$B$13&lt;&gt;"OK",U15&gt;0,AH15&gt;0),1,IF(N15="VENCIDO",2,IF(OR(M15="Quarentena",M15="Bloqueado"),3,IF(N15="CRÍTICO",4,5)))))</x:f>
        <x:v>0</x:v>
      </x:c>
      <x:c r="AA15" s="167" t="n">
        <x:f>IF(Z15=0,0,COUNTIFS($Z$5:$Z$204,"&gt;0",$Z$5:$Z$204,"&lt;"&amp;Z15,$X$5:$X$204,1)+COUNTIFS($Z$5:Z15,Z15,$X$5:X15,1))</x:f>
        <x:v>0</x:v>
      </x:c>
      <x:c r="AB15" s="168"/>
      <x:c r="AC15" s="168"/>
      <x:c r="AD15" s="169"/>
      <x:c r="AE15" s="167" t="str">
        <x:f>IF(X15=0,"",IF(OR(U15&gt;0,Listas!$B$13&lt;&gt;"OK"),"Dados pendentes",IF(J15&lt;=0,"Sem saldo",IF(N15="VENCIDO","Vencidos",IF(OR(M15="Quarentena",M15="Bloqueado"),"Restritos vigentes",IF(OR(N15="CRÍTICO",N15="VENCE NA JANELA"),"Liberados na janela","Demais liberados"))))))</x:f>
        <x:v>Sem saldo</x:v>
      </x:c>
      <x:c r="AF15" s="167" t="str">
        <x:f>IF(A15&lt;&gt;"",A15,IF(U15&gt;0,"Sem ID (linha "&amp;ROW()&amp;")",""))</x:f>
        <x:v>LOT-S002</x:v>
      </x:c>
      <x:c r="AG15" s="167" t="str">
        <x:f>IF(AD15="","",IF(OR(NOT(ISNUMBER(AD15)),AD15&lt;=0),"Prazo da ação inválido",""))</x:f>
      </x:c>
      <x:c r="AH15" s="167" t="n">
        <x:f>IF(AG15="",0,1)</x:f>
        <x:v>0</x:v>
      </x:c>
    </x:row>
    <x:row r="16" ht="32" customHeight="1">
      <x:c r="A16" s="27"/>
      <x:c r="B16" s="27"/>
      <x:c r="C16" s="40" t="str">
        <x:f>IF($B16="","",IFERROR(INDEX(Produtos!$B$5:$B$204,MATCH($B16,Produtos!$A$5:$A$204,0)),""))</x:f>
      </x:c>
      <x:c r="D16" s="170"/>
      <x:c r="E16" s="179"/>
      <x:c r="F16" s="179"/>
      <x:c r="G16" s="179"/>
      <x:c r="H16" s="40" t="str">
        <x:f>IF(A16="","",IF(OR(S16&lt;&gt;"",Listas!$B$13&lt;&gt;"OK"),"n.a.",G16-Listas!$B$6))</x:f>
      </x:c>
      <x:c r="I16" s="40"/>
      <x:c r="J16" s="40" t="str">
        <x:f>IF(A16="","",IF(OR(S16&lt;&gt;"",T16&gt;0,Listas!$B$13&lt;&gt;"OK"),"n.a.",SUMIFS(Movimentacoes!$H$5:$H$304,Movimentacoes!$D$5:$D$304,A16,Movimentacoes!$B$5:$B$304,"&lt;="&amp;Listas!$B$6)))</x:f>
      </x:c>
      <x:c r="K16" s="180"/>
      <x:c r="L16" s="181" t="str">
        <x:f>IF(A16="","",IF(OR(U16&gt;0,Listas!$B$13&lt;&gt;"OK"),"n.a.",J16*K16))</x:f>
      </x:c>
      <x:c r="M16" s="27"/>
      <x:c r="N16" s="40" t="str">
        <x:f>IF(A16="","",IF(OR(U16&gt;0,Listas!$B$13&lt;&gt;"OK"),"REVISAR DADOS",IF(J16=0,"SEM SALDO",IF(G16&lt;Listas!$B$6,"VENCIDO",IF(H16&lt;=Listas!$B$7,"CRÍTICO",IF(H16&lt;=Listas!$B$8,"VENCE NA JANELA","OK"))))))</x:f>
      </x:c>
      <x:c r="O16" s="41" t="str">
        <x:f>IF(A16="","",IF(AND(ISNUMBER(V16),V16&gt;0),G16,""))</x:f>
      </x:c>
      <x:c r="P16" s="40" t="str">
        <x:f>IF(A16="","",IF(OR(U16&gt;0,Listas!$B$13&lt;&gt;"OK"),"REVISAR DADOS",IF(J16=0,"ARQUIVAR LOTE",IF(M16="Quarentena","DECIDIR LIBERAÇÃO",IF(M16="Bloqueado","SEGREGAR E INVESTIGAR",IF(M16="Esgotado","REVISAR STATUS COM SALDO",IF(N16="VENCIDO","SEGREGAR E AVALIAR DESTINAÇÃO",IF(OR(N16="CRÍTICO",N16="VENCE NA JANELA"),"PRIORIZAR FEFO","MANTER ROTAÇÃO"))))))))</x:f>
      </x:c>
      <x:c r="Q16" s="27"/>
      <x:c r="R16" s="181" t="str">
        <x:f>IF(A16="","",IF(OR(U16&gt;0,Listas!$B$13&lt;&gt;"OK"),"n.a.",IF(OR(N16="VENCIDO",N16="CRÍTICO",N16="VENCE NA JANELA",M16="Quarentena",M16="Bloqueado"),L16,0)))</x:f>
      </x:c>
      <x:c r="S16" s="163" t="str">
        <x:f>IF(COUNTA(A16:B16,D16:G16,I16,K16,M16,Q16,AB16:AD16)=0,"",IF(OR(A16="",COUNTIFS($A$5:$A$204,A16)&lt;&gt;1),"Lote ausente ou duplicado",IF(OR(B16="",COUNTIFS(Produtos!$A$5:$A$204,B16)&lt;&gt;1),"SKU ausente ou desconhecido",IF(COUNTIFS(Produtos!$A$5:$A$204,B16,Produtos!$R$5:$R$204,1)&gt;0,"Revisar cadastro do produto",IF(OR(NOT(ISNUMBER(E16)),E16&lt;=0,NOT(ISNUMBER(G16)),G16&lt;=0,G16&lt;E16),"Recebimento ou validade inválida",IF(AND(F16&lt;&gt;"",OR(NOT(ISNUMBER(F16)),F16&lt;=0,F16&gt;E16)),"Fabricação inválida ou posterior ao recebimento",IF(OR(NOT(ISNUMBER(K16)),K16&lt;0,NOT(ISNUMBER(I16)),I16&lt;0),"Quantidade recebida ou custo inválido",IF(AND(M16&lt;&gt;"Liberado",M16&lt;&gt;"Quarentena",M16&lt;&gt;"Bloqueado",M16&lt;&gt;"Esgotado"),"Status de lote inválido",""))))))))</x:f>
      </x:c>
      <x:c r="T16" s="163" t="n">
        <x:f>IF(A16="",0,COUNTIFS(Movimentacoes!$D$5:$D$304,A16,Movimentacoes!$P$5:$P$304,1))</x:f>
        <x:v>0</x:v>
      </x:c>
      <x:c r="U16" s="163" t="n">
        <x:f>IF(COUNTA(A16:B16,D16:G16,I16,K16,M16,Q16,AB16:AD16)=0,0,IF(OR(S16&lt;&gt;"",T16&gt;0),1,IF(ISNUMBER(J16),IF(OR(J16&lt;0,AND(J16&gt;0,M16="Esgotado")),1,0),0)))</x:f>
        <x:v>0</x:v>
      </x:c>
      <x:c r="V16" s="163" t="str">
        <x:f>IF(A16="","",IF(OR(U16&gt;0,Listas!$B$13&lt;&gt;"OK"),"n.a.",IF(AND(J16&gt;0,M16="Liberado",G16&gt;=Listas!$B$6),J16,0)))</x:f>
      </x:c>
      <x:c r="W16" s="163" t="str">
        <x:f>IF(A16="","",IF(OR(U16&gt;0,Listas!$B$13&lt;&gt;"OK"),"n.a.",V16*K16))</x:f>
      </x:c>
      <x:c r="X16" s="167" t="n">
        <x:f>IF(COUNTA(A16:B16,D16:G16,I16,K16,M16,Q16,AB16:AD16)=0,0,IF(OR(Listas!$B$19="Todos",B16=Listas!$B$19,COUNTIFS(Produtos!$A$5:$A$204,B16)&lt;&gt;1),1,0))</x:f>
        <x:v>0</x:v>
      </x:c>
      <x:c r="Y16" s="167" t="str">
        <x:f>IF(X16=0,"",IF(Listas!$B$13&lt;&gt;"OK","Revisar parâmetros",IF(U16&gt;0,IF(S16&lt;&gt;"",S16,IF(T16&gt;0,"Revisar movimentos",IF(AND(ISNUMBER(J16),J16&lt;0),"Saldo negativo","Status esgotado com saldo"))),IF(AG16&lt;&gt;"",AG16&amp;". ","")&amp;IF(J16&lt;=0,"",IF(N16="VENCIDO","Validade vencida. ","")&amp;IF(M16="Quarentena","Em quarentena. ","")&amp;IF(M16="Bloqueado","Lote bloqueado. ","")&amp;IF(N16="CRÍTICO","Validade crítica. ","")&amp;IF(N16="VENCE NA JANELA","Vence na janela. ","")))))</x:f>
      </x:c>
      <x:c r="Z16" s="167" t="n">
        <x:f>IF(OR(X16=0,Y16=""),0,IF(OR(Listas!$B$13&lt;&gt;"OK",U16&gt;0,AH16&gt;0),1,IF(N16="VENCIDO",2,IF(OR(M16="Quarentena",M16="Bloqueado"),3,IF(N16="CRÍTICO",4,5)))))</x:f>
        <x:v>0</x:v>
      </x:c>
      <x:c r="AA16" s="167" t="n">
        <x:f>IF(Z16=0,0,COUNTIFS($Z$5:$Z$204,"&gt;0",$Z$5:$Z$204,"&lt;"&amp;Z16,$X$5:$X$204,1)+COUNTIFS($Z$5:Z16,Z16,$X$5:X16,1))</x:f>
        <x:v>0</x:v>
      </x:c>
      <x:c r="AB16" s="168"/>
      <x:c r="AC16" s="168"/>
      <x:c r="AD16" s="169"/>
      <x:c r="AE16" s="167" t="str">
        <x:f>IF(X16=0,"",IF(OR(U16&gt;0,Listas!$B$13&lt;&gt;"OK"),"Dados pendentes",IF(J16&lt;=0,"Sem saldo",IF(N16="VENCIDO","Vencidos",IF(OR(M16="Quarentena",M16="Bloqueado"),"Restritos vigentes",IF(OR(N16="CRÍTICO",N16="VENCE NA JANELA"),"Liberados na janela","Demais liberados"))))))</x:f>
      </x:c>
      <x:c r="AF16" s="167" t="str">
        <x:f>IF(A16&lt;&gt;"",A16,IF(U16&gt;0,"Sem ID (linha "&amp;ROW()&amp;")",""))</x:f>
      </x:c>
      <x:c r="AG16" s="167" t="str">
        <x:f>IF(AD16="","",IF(OR(NOT(ISNUMBER(AD16)),AD16&lt;=0),"Prazo da ação inválido",""))</x:f>
      </x:c>
      <x:c r="AH16" s="167" t="n">
        <x:f>IF(AG16="",0,1)</x:f>
        <x:v>0</x:v>
      </x:c>
    </x:row>
    <x:row r="17" ht="32" customHeight="1">
      <x:c r="A17" s="27"/>
      <x:c r="B17" s="27"/>
      <x:c r="C17" s="40" t="str">
        <x:f>IF($B17="","",IFERROR(INDEX(Produtos!$B$5:$B$204,MATCH($B17,Produtos!$A$5:$A$204,0)),""))</x:f>
      </x:c>
      <x:c r="D17" s="170"/>
      <x:c r="E17" s="179"/>
      <x:c r="F17" s="179"/>
      <x:c r="G17" s="179"/>
      <x:c r="H17" s="40" t="str">
        <x:f>IF(A17="","",IF(OR(S17&lt;&gt;"",Listas!$B$13&lt;&gt;"OK"),"n.a.",G17-Listas!$B$6))</x:f>
      </x:c>
      <x:c r="I17" s="40"/>
      <x:c r="J17" s="40" t="str">
        <x:f>IF(A17="","",IF(OR(S17&lt;&gt;"",T17&gt;0,Listas!$B$13&lt;&gt;"OK"),"n.a.",SUMIFS(Movimentacoes!$H$5:$H$304,Movimentacoes!$D$5:$D$304,A17,Movimentacoes!$B$5:$B$304,"&lt;="&amp;Listas!$B$6)))</x:f>
      </x:c>
      <x:c r="K17" s="180"/>
      <x:c r="L17" s="181" t="str">
        <x:f>IF(A17="","",IF(OR(U17&gt;0,Listas!$B$13&lt;&gt;"OK"),"n.a.",J17*K17))</x:f>
      </x:c>
      <x:c r="M17" s="27"/>
      <x:c r="N17" s="40" t="str">
        <x:f>IF(A17="","",IF(OR(U17&gt;0,Listas!$B$13&lt;&gt;"OK"),"REVISAR DADOS",IF(J17=0,"SEM SALDO",IF(G17&lt;Listas!$B$6,"VENCIDO",IF(H17&lt;=Listas!$B$7,"CRÍTICO",IF(H17&lt;=Listas!$B$8,"VENCE NA JANELA","OK"))))))</x:f>
      </x:c>
      <x:c r="O17" s="41" t="str">
        <x:f>IF(A17="","",IF(AND(ISNUMBER(V17),V17&gt;0),G17,""))</x:f>
      </x:c>
      <x:c r="P17" s="40" t="str">
        <x:f>IF(A17="","",IF(OR(U17&gt;0,Listas!$B$13&lt;&gt;"OK"),"REVISAR DADOS",IF(J17=0,"ARQUIVAR LOTE",IF(M17="Quarentena","DECIDIR LIBERAÇÃO",IF(M17="Bloqueado","SEGREGAR E INVESTIGAR",IF(M17="Esgotado","REVISAR STATUS COM SALDO",IF(N17="VENCIDO","SEGREGAR E AVALIAR DESTINAÇÃO",IF(OR(N17="CRÍTICO",N17="VENCE NA JANELA"),"PRIORIZAR FEFO","MANTER ROTAÇÃO"))))))))</x:f>
      </x:c>
      <x:c r="Q17" s="27"/>
      <x:c r="R17" s="181" t="str">
        <x:f>IF(A17="","",IF(OR(U17&gt;0,Listas!$B$13&lt;&gt;"OK"),"n.a.",IF(OR(N17="VENCIDO",N17="CRÍTICO",N17="VENCE NA JANELA",M17="Quarentena",M17="Bloqueado"),L17,0)))</x:f>
      </x:c>
      <x:c r="S17" s="163" t="str">
        <x:f>IF(COUNTA(A17:B17,D17:G17,I17,K17,M17,Q17,AB17:AD17)=0,"",IF(OR(A17="",COUNTIFS($A$5:$A$204,A17)&lt;&gt;1),"Lote ausente ou duplicado",IF(OR(B17="",COUNTIFS(Produtos!$A$5:$A$204,B17)&lt;&gt;1),"SKU ausente ou desconhecido",IF(COUNTIFS(Produtos!$A$5:$A$204,B17,Produtos!$R$5:$R$204,1)&gt;0,"Revisar cadastro do produto",IF(OR(NOT(ISNUMBER(E17)),E17&lt;=0,NOT(ISNUMBER(G17)),G17&lt;=0,G17&lt;E17),"Recebimento ou validade inválida",IF(AND(F17&lt;&gt;"",OR(NOT(ISNUMBER(F17)),F17&lt;=0,F17&gt;E17)),"Fabricação inválida ou posterior ao recebimento",IF(OR(NOT(ISNUMBER(K17)),K17&lt;0,NOT(ISNUMBER(I17)),I17&lt;0),"Quantidade recebida ou custo inválido",IF(AND(M17&lt;&gt;"Liberado",M17&lt;&gt;"Quarentena",M17&lt;&gt;"Bloqueado",M17&lt;&gt;"Esgotado"),"Status de lote inválido",""))))))))</x:f>
      </x:c>
      <x:c r="T17" s="163" t="n">
        <x:f>IF(A17="",0,COUNTIFS(Movimentacoes!$D$5:$D$304,A17,Movimentacoes!$P$5:$P$304,1))</x:f>
        <x:v>0</x:v>
      </x:c>
      <x:c r="U17" s="163" t="n">
        <x:f>IF(COUNTA(A17:B17,D17:G17,I17,K17,M17,Q17,AB17:AD17)=0,0,IF(OR(S17&lt;&gt;"",T17&gt;0),1,IF(ISNUMBER(J17),IF(OR(J17&lt;0,AND(J17&gt;0,M17="Esgotado")),1,0),0)))</x:f>
        <x:v>0</x:v>
      </x:c>
      <x:c r="V17" s="163" t="str">
        <x:f>IF(A17="","",IF(OR(U17&gt;0,Listas!$B$13&lt;&gt;"OK"),"n.a.",IF(AND(J17&gt;0,M17="Liberado",G17&gt;=Listas!$B$6),J17,0)))</x:f>
      </x:c>
      <x:c r="W17" s="163" t="str">
        <x:f>IF(A17="","",IF(OR(U17&gt;0,Listas!$B$13&lt;&gt;"OK"),"n.a.",V17*K17))</x:f>
      </x:c>
      <x:c r="X17" s="167" t="n">
        <x:f>IF(COUNTA(A17:B17,D17:G17,I17,K17,M17,Q17,AB17:AD17)=0,0,IF(OR(Listas!$B$19="Todos",B17=Listas!$B$19,COUNTIFS(Produtos!$A$5:$A$204,B17)&lt;&gt;1),1,0))</x:f>
        <x:v>0</x:v>
      </x:c>
      <x:c r="Y17" s="167" t="str">
        <x:f>IF(X17=0,"",IF(Listas!$B$13&lt;&gt;"OK","Revisar parâmetros",IF(U17&gt;0,IF(S17&lt;&gt;"",S17,IF(T17&gt;0,"Revisar movimentos",IF(AND(ISNUMBER(J17),J17&lt;0),"Saldo negativo","Status esgotado com saldo"))),IF(AG17&lt;&gt;"",AG17&amp;". ","")&amp;IF(J17&lt;=0,"",IF(N17="VENCIDO","Validade vencida. ","")&amp;IF(M17="Quarentena","Em quarentena. ","")&amp;IF(M17="Bloqueado","Lote bloqueado. ","")&amp;IF(N17="CRÍTICO","Validade crítica. ","")&amp;IF(N17="VENCE NA JANELA","Vence na janela. ","")))))</x:f>
      </x:c>
      <x:c r="Z17" s="167" t="n">
        <x:f>IF(OR(X17=0,Y17=""),0,IF(OR(Listas!$B$13&lt;&gt;"OK",U17&gt;0,AH17&gt;0),1,IF(N17="VENCIDO",2,IF(OR(M17="Quarentena",M17="Bloqueado"),3,IF(N17="CRÍTICO",4,5)))))</x:f>
        <x:v>0</x:v>
      </x:c>
      <x:c r="AA17" s="167" t="n">
        <x:f>IF(Z17=0,0,COUNTIFS($Z$5:$Z$204,"&gt;0",$Z$5:$Z$204,"&lt;"&amp;Z17,$X$5:$X$204,1)+COUNTIFS($Z$5:Z17,Z17,$X$5:X17,1))</x:f>
        <x:v>0</x:v>
      </x:c>
      <x:c r="AB17" s="168"/>
      <x:c r="AC17" s="168"/>
      <x:c r="AD17" s="169"/>
      <x:c r="AE17" s="167" t="str">
        <x:f>IF(X17=0,"",IF(OR(U17&gt;0,Listas!$B$13&lt;&gt;"OK"),"Dados pendentes",IF(J17&lt;=0,"Sem saldo",IF(N17="VENCIDO","Vencidos",IF(OR(M17="Quarentena",M17="Bloqueado"),"Restritos vigentes",IF(OR(N17="CRÍTICO",N17="VENCE NA JANELA"),"Liberados na janela","Demais liberados"))))))</x:f>
      </x:c>
      <x:c r="AF17" s="167" t="str">
        <x:f>IF(A17&lt;&gt;"",A17,IF(U17&gt;0,"Sem ID (linha "&amp;ROW()&amp;")",""))</x:f>
      </x:c>
      <x:c r="AG17" s="167" t="str">
        <x:f>IF(AD17="","",IF(OR(NOT(ISNUMBER(AD17)),AD17&lt;=0),"Prazo da ação inválido",""))</x:f>
      </x:c>
      <x:c r="AH17" s="167" t="n">
        <x:f>IF(AG17="",0,1)</x:f>
        <x:v>0</x:v>
      </x:c>
    </x:row>
    <x:row r="18" ht="32" customHeight="1">
      <x:c r="A18" s="27"/>
      <x:c r="B18" s="27"/>
      <x:c r="C18" s="40" t="str">
        <x:f>IF($B18="","",IFERROR(INDEX(Produtos!$B$5:$B$204,MATCH($B18,Produtos!$A$5:$A$204,0)),""))</x:f>
      </x:c>
      <x:c r="D18" s="170"/>
      <x:c r="E18" s="179"/>
      <x:c r="F18" s="179"/>
      <x:c r="G18" s="179"/>
      <x:c r="H18" s="40" t="str">
        <x:f>IF(A18="","",IF(OR(S18&lt;&gt;"",Listas!$B$13&lt;&gt;"OK"),"n.a.",G18-Listas!$B$6))</x:f>
      </x:c>
      <x:c r="I18" s="40"/>
      <x:c r="J18" s="40" t="str">
        <x:f>IF(A18="","",IF(OR(S18&lt;&gt;"",T18&gt;0,Listas!$B$13&lt;&gt;"OK"),"n.a.",SUMIFS(Movimentacoes!$H$5:$H$304,Movimentacoes!$D$5:$D$304,A18,Movimentacoes!$B$5:$B$304,"&lt;="&amp;Listas!$B$6)))</x:f>
      </x:c>
      <x:c r="K18" s="180"/>
      <x:c r="L18" s="181" t="str">
        <x:f>IF(A18="","",IF(OR(U18&gt;0,Listas!$B$13&lt;&gt;"OK"),"n.a.",J18*K18))</x:f>
      </x:c>
      <x:c r="M18" s="27"/>
      <x:c r="N18" s="40" t="str">
        <x:f>IF(A18="","",IF(OR(U18&gt;0,Listas!$B$13&lt;&gt;"OK"),"REVISAR DADOS",IF(J18=0,"SEM SALDO",IF(G18&lt;Listas!$B$6,"VENCIDO",IF(H18&lt;=Listas!$B$7,"CRÍTICO",IF(H18&lt;=Listas!$B$8,"VENCE NA JANELA","OK"))))))</x:f>
      </x:c>
      <x:c r="O18" s="41" t="str">
        <x:f>IF(A18="","",IF(AND(ISNUMBER(V18),V18&gt;0),G18,""))</x:f>
      </x:c>
      <x:c r="P18" s="40" t="str">
        <x:f>IF(A18="","",IF(OR(U18&gt;0,Listas!$B$13&lt;&gt;"OK"),"REVISAR DADOS",IF(J18=0,"ARQUIVAR LOTE",IF(M18="Quarentena","DECIDIR LIBERAÇÃO",IF(M18="Bloqueado","SEGREGAR E INVESTIGAR",IF(M18="Esgotado","REVISAR STATUS COM SALDO",IF(N18="VENCIDO","SEGREGAR E AVALIAR DESTINAÇÃO",IF(OR(N18="CRÍTICO",N18="VENCE NA JANELA"),"PRIORIZAR FEFO","MANTER ROTAÇÃO"))))))))</x:f>
      </x:c>
      <x:c r="Q18" s="27"/>
      <x:c r="R18" s="181" t="str">
        <x:f>IF(A18="","",IF(OR(U18&gt;0,Listas!$B$13&lt;&gt;"OK"),"n.a.",IF(OR(N18="VENCIDO",N18="CRÍTICO",N18="VENCE NA JANELA",M18="Quarentena",M18="Bloqueado"),L18,0)))</x:f>
      </x:c>
      <x:c r="S18" s="163" t="str">
        <x:f>IF(COUNTA(A18:B18,D18:G18,I18,K18,M18,Q18,AB18:AD18)=0,"",IF(OR(A18="",COUNTIFS($A$5:$A$204,A18)&lt;&gt;1),"Lote ausente ou duplicado",IF(OR(B18="",COUNTIFS(Produtos!$A$5:$A$204,B18)&lt;&gt;1),"SKU ausente ou desconhecido",IF(COUNTIFS(Produtos!$A$5:$A$204,B18,Produtos!$R$5:$R$204,1)&gt;0,"Revisar cadastro do produto",IF(OR(NOT(ISNUMBER(E18)),E18&lt;=0,NOT(ISNUMBER(G18)),G18&lt;=0,G18&lt;E18),"Recebimento ou validade inválida",IF(AND(F18&lt;&gt;"",OR(NOT(ISNUMBER(F18)),F18&lt;=0,F18&gt;E18)),"Fabricação inválida ou posterior ao recebimento",IF(OR(NOT(ISNUMBER(K18)),K18&lt;0,NOT(ISNUMBER(I18)),I18&lt;0),"Quantidade recebida ou custo inválido",IF(AND(M18&lt;&gt;"Liberado",M18&lt;&gt;"Quarentena",M18&lt;&gt;"Bloqueado",M18&lt;&gt;"Esgotado"),"Status de lote inválido",""))))))))</x:f>
      </x:c>
      <x:c r="T18" s="163" t="n">
        <x:f>IF(A18="",0,COUNTIFS(Movimentacoes!$D$5:$D$304,A18,Movimentacoes!$P$5:$P$304,1))</x:f>
        <x:v>0</x:v>
      </x:c>
      <x:c r="U18" s="163" t="n">
        <x:f>IF(COUNTA(A18:B18,D18:G18,I18,K18,M18,Q18,AB18:AD18)=0,0,IF(OR(S18&lt;&gt;"",T18&gt;0),1,IF(ISNUMBER(J18),IF(OR(J18&lt;0,AND(J18&gt;0,M18="Esgotado")),1,0),0)))</x:f>
        <x:v>0</x:v>
      </x:c>
      <x:c r="V18" s="163" t="str">
        <x:f>IF(A18="","",IF(OR(U18&gt;0,Listas!$B$13&lt;&gt;"OK"),"n.a.",IF(AND(J18&gt;0,M18="Liberado",G18&gt;=Listas!$B$6),J18,0)))</x:f>
      </x:c>
      <x:c r="W18" s="163" t="str">
        <x:f>IF(A18="","",IF(OR(U18&gt;0,Listas!$B$13&lt;&gt;"OK"),"n.a.",V18*K18))</x:f>
      </x:c>
      <x:c r="X18" s="167" t="n">
        <x:f>IF(COUNTA(A18:B18,D18:G18,I18,K18,M18,Q18,AB18:AD18)=0,0,IF(OR(Listas!$B$19="Todos",B18=Listas!$B$19,COUNTIFS(Produtos!$A$5:$A$204,B18)&lt;&gt;1),1,0))</x:f>
        <x:v>0</x:v>
      </x:c>
      <x:c r="Y18" s="167" t="str">
        <x:f>IF(X18=0,"",IF(Listas!$B$13&lt;&gt;"OK","Revisar parâmetros",IF(U18&gt;0,IF(S18&lt;&gt;"",S18,IF(T18&gt;0,"Revisar movimentos",IF(AND(ISNUMBER(J18),J18&lt;0),"Saldo negativo","Status esgotado com saldo"))),IF(AG18&lt;&gt;"",AG18&amp;". ","")&amp;IF(J18&lt;=0,"",IF(N18="VENCIDO","Validade vencida. ","")&amp;IF(M18="Quarentena","Em quarentena. ","")&amp;IF(M18="Bloqueado","Lote bloqueado. ","")&amp;IF(N18="CRÍTICO","Validade crítica. ","")&amp;IF(N18="VENCE NA JANELA","Vence na janela. ","")))))</x:f>
      </x:c>
      <x:c r="Z18" s="167" t="n">
        <x:f>IF(OR(X18=0,Y18=""),0,IF(OR(Listas!$B$13&lt;&gt;"OK",U18&gt;0,AH18&gt;0),1,IF(N18="VENCIDO",2,IF(OR(M18="Quarentena",M18="Bloqueado"),3,IF(N18="CRÍTICO",4,5)))))</x:f>
        <x:v>0</x:v>
      </x:c>
      <x:c r="AA18" s="167" t="n">
        <x:f>IF(Z18=0,0,COUNTIFS($Z$5:$Z$204,"&gt;0",$Z$5:$Z$204,"&lt;"&amp;Z18,$X$5:$X$204,1)+COUNTIFS($Z$5:Z18,Z18,$X$5:X18,1))</x:f>
        <x:v>0</x:v>
      </x:c>
      <x:c r="AB18" s="168"/>
      <x:c r="AC18" s="168"/>
      <x:c r="AD18" s="169"/>
      <x:c r="AE18" s="167" t="str">
        <x:f>IF(X18=0,"",IF(OR(U18&gt;0,Listas!$B$13&lt;&gt;"OK"),"Dados pendentes",IF(J18&lt;=0,"Sem saldo",IF(N18="VENCIDO","Vencidos",IF(OR(M18="Quarentena",M18="Bloqueado"),"Restritos vigentes",IF(OR(N18="CRÍTICO",N18="VENCE NA JANELA"),"Liberados na janela","Demais liberados"))))))</x:f>
      </x:c>
      <x:c r="AF18" s="167" t="str">
        <x:f>IF(A18&lt;&gt;"",A18,IF(U18&gt;0,"Sem ID (linha "&amp;ROW()&amp;")",""))</x:f>
      </x:c>
      <x:c r="AG18" s="167" t="str">
        <x:f>IF(AD18="","",IF(OR(NOT(ISNUMBER(AD18)),AD18&lt;=0),"Prazo da ação inválido",""))</x:f>
      </x:c>
      <x:c r="AH18" s="167" t="n">
        <x:f>IF(AG18="",0,1)</x:f>
        <x:v>0</x:v>
      </x:c>
    </x:row>
    <x:row r="19" ht="32" customHeight="1">
      <x:c r="A19" s="27"/>
      <x:c r="B19" s="27"/>
      <x:c r="C19" s="40" t="str">
        <x:f>IF($B19="","",IFERROR(INDEX(Produtos!$B$5:$B$204,MATCH($B19,Produtos!$A$5:$A$204,0)),""))</x:f>
      </x:c>
      <x:c r="D19" s="170"/>
      <x:c r="E19" s="179"/>
      <x:c r="F19" s="179"/>
      <x:c r="G19" s="179"/>
      <x:c r="H19" s="40" t="str">
        <x:f>IF(A19="","",IF(OR(S19&lt;&gt;"",Listas!$B$13&lt;&gt;"OK"),"n.a.",G19-Listas!$B$6))</x:f>
      </x:c>
      <x:c r="I19" s="40"/>
      <x:c r="J19" s="40" t="str">
        <x:f>IF(A19="","",IF(OR(S19&lt;&gt;"",T19&gt;0,Listas!$B$13&lt;&gt;"OK"),"n.a.",SUMIFS(Movimentacoes!$H$5:$H$304,Movimentacoes!$D$5:$D$304,A19,Movimentacoes!$B$5:$B$304,"&lt;="&amp;Listas!$B$6)))</x:f>
      </x:c>
      <x:c r="K19" s="180"/>
      <x:c r="L19" s="181" t="str">
        <x:f>IF(A19="","",IF(OR(U19&gt;0,Listas!$B$13&lt;&gt;"OK"),"n.a.",J19*K19))</x:f>
      </x:c>
      <x:c r="M19" s="27"/>
      <x:c r="N19" s="40" t="str">
        <x:f>IF(A19="","",IF(OR(U19&gt;0,Listas!$B$13&lt;&gt;"OK"),"REVISAR DADOS",IF(J19=0,"SEM SALDO",IF(G19&lt;Listas!$B$6,"VENCIDO",IF(H19&lt;=Listas!$B$7,"CRÍTICO",IF(H19&lt;=Listas!$B$8,"VENCE NA JANELA","OK"))))))</x:f>
      </x:c>
      <x:c r="O19" s="41" t="str">
        <x:f>IF(A19="","",IF(AND(ISNUMBER(V19),V19&gt;0),G19,""))</x:f>
      </x:c>
      <x:c r="P19" s="40" t="str">
        <x:f>IF(A19="","",IF(OR(U19&gt;0,Listas!$B$13&lt;&gt;"OK"),"REVISAR DADOS",IF(J19=0,"ARQUIVAR LOTE",IF(M19="Quarentena","DECIDIR LIBERAÇÃO",IF(M19="Bloqueado","SEGREGAR E INVESTIGAR",IF(M19="Esgotado","REVISAR STATUS COM SALDO",IF(N19="VENCIDO","SEGREGAR E AVALIAR DESTINAÇÃO",IF(OR(N19="CRÍTICO",N19="VENCE NA JANELA"),"PRIORIZAR FEFO","MANTER ROTAÇÃO"))))))))</x:f>
      </x:c>
      <x:c r="Q19" s="27"/>
      <x:c r="R19" s="181" t="str">
        <x:f>IF(A19="","",IF(OR(U19&gt;0,Listas!$B$13&lt;&gt;"OK"),"n.a.",IF(OR(N19="VENCIDO",N19="CRÍTICO",N19="VENCE NA JANELA",M19="Quarentena",M19="Bloqueado"),L19,0)))</x:f>
      </x:c>
      <x:c r="S19" s="163" t="str">
        <x:f>IF(COUNTA(A19:B19,D19:G19,I19,K19,M19,Q19,AB19:AD19)=0,"",IF(OR(A19="",COUNTIFS($A$5:$A$204,A19)&lt;&gt;1),"Lote ausente ou duplicado",IF(OR(B19="",COUNTIFS(Produtos!$A$5:$A$204,B19)&lt;&gt;1),"SKU ausente ou desconhecido",IF(COUNTIFS(Produtos!$A$5:$A$204,B19,Produtos!$R$5:$R$204,1)&gt;0,"Revisar cadastro do produto",IF(OR(NOT(ISNUMBER(E19)),E19&lt;=0,NOT(ISNUMBER(G19)),G19&lt;=0,G19&lt;E19),"Recebimento ou validade inválida",IF(AND(F19&lt;&gt;"",OR(NOT(ISNUMBER(F19)),F19&lt;=0,F19&gt;E19)),"Fabricação inválida ou posterior ao recebimento",IF(OR(NOT(ISNUMBER(K19)),K19&lt;0,NOT(ISNUMBER(I19)),I19&lt;0),"Quantidade recebida ou custo inválido",IF(AND(M19&lt;&gt;"Liberado",M19&lt;&gt;"Quarentena",M19&lt;&gt;"Bloqueado",M19&lt;&gt;"Esgotado"),"Status de lote inválido",""))))))))</x:f>
      </x:c>
      <x:c r="T19" s="163" t="n">
        <x:f>IF(A19="",0,COUNTIFS(Movimentacoes!$D$5:$D$304,A19,Movimentacoes!$P$5:$P$304,1))</x:f>
        <x:v>0</x:v>
      </x:c>
      <x:c r="U19" s="163" t="n">
        <x:f>IF(COUNTA(A19:B19,D19:G19,I19,K19,M19,Q19,AB19:AD19)=0,0,IF(OR(S19&lt;&gt;"",T19&gt;0),1,IF(ISNUMBER(J19),IF(OR(J19&lt;0,AND(J19&gt;0,M19="Esgotado")),1,0),0)))</x:f>
        <x:v>0</x:v>
      </x:c>
      <x:c r="V19" s="163" t="str">
        <x:f>IF(A19="","",IF(OR(U19&gt;0,Listas!$B$13&lt;&gt;"OK"),"n.a.",IF(AND(J19&gt;0,M19="Liberado",G19&gt;=Listas!$B$6),J19,0)))</x:f>
      </x:c>
      <x:c r="W19" s="163" t="str">
        <x:f>IF(A19="","",IF(OR(U19&gt;0,Listas!$B$13&lt;&gt;"OK"),"n.a.",V19*K19))</x:f>
      </x:c>
      <x:c r="X19" s="167" t="n">
        <x:f>IF(COUNTA(A19:B19,D19:G19,I19,K19,M19,Q19,AB19:AD19)=0,0,IF(OR(Listas!$B$19="Todos",B19=Listas!$B$19,COUNTIFS(Produtos!$A$5:$A$204,B19)&lt;&gt;1),1,0))</x:f>
        <x:v>0</x:v>
      </x:c>
      <x:c r="Y19" s="167" t="str">
        <x:f>IF(X19=0,"",IF(Listas!$B$13&lt;&gt;"OK","Revisar parâmetros",IF(U19&gt;0,IF(S19&lt;&gt;"",S19,IF(T19&gt;0,"Revisar movimentos",IF(AND(ISNUMBER(J19),J19&lt;0),"Saldo negativo","Status esgotado com saldo"))),IF(AG19&lt;&gt;"",AG19&amp;". ","")&amp;IF(J19&lt;=0,"",IF(N19="VENCIDO","Validade vencida. ","")&amp;IF(M19="Quarentena","Em quarentena. ","")&amp;IF(M19="Bloqueado","Lote bloqueado. ","")&amp;IF(N19="CRÍTICO","Validade crítica. ","")&amp;IF(N19="VENCE NA JANELA","Vence na janela. ","")))))</x:f>
      </x:c>
      <x:c r="Z19" s="167" t="n">
        <x:f>IF(OR(X19=0,Y19=""),0,IF(OR(Listas!$B$13&lt;&gt;"OK",U19&gt;0,AH19&gt;0),1,IF(N19="VENCIDO",2,IF(OR(M19="Quarentena",M19="Bloqueado"),3,IF(N19="CRÍTICO",4,5)))))</x:f>
        <x:v>0</x:v>
      </x:c>
      <x:c r="AA19" s="167" t="n">
        <x:f>IF(Z19=0,0,COUNTIFS($Z$5:$Z$204,"&gt;0",$Z$5:$Z$204,"&lt;"&amp;Z19,$X$5:$X$204,1)+COUNTIFS($Z$5:Z19,Z19,$X$5:X19,1))</x:f>
        <x:v>0</x:v>
      </x:c>
      <x:c r="AB19" s="168"/>
      <x:c r="AC19" s="168"/>
      <x:c r="AD19" s="169"/>
      <x:c r="AE19" s="167" t="str">
        <x:f>IF(X19=0,"",IF(OR(U19&gt;0,Listas!$B$13&lt;&gt;"OK"),"Dados pendentes",IF(J19&lt;=0,"Sem saldo",IF(N19="VENCIDO","Vencidos",IF(OR(M19="Quarentena",M19="Bloqueado"),"Restritos vigentes",IF(OR(N19="CRÍTICO",N19="VENCE NA JANELA"),"Liberados na janela","Demais liberados"))))))</x:f>
      </x:c>
      <x:c r="AF19" s="167" t="str">
        <x:f>IF(A19&lt;&gt;"",A19,IF(U19&gt;0,"Sem ID (linha "&amp;ROW()&amp;")",""))</x:f>
      </x:c>
      <x:c r="AG19" s="167" t="str">
        <x:f>IF(AD19="","",IF(OR(NOT(ISNUMBER(AD19)),AD19&lt;=0),"Prazo da ação inválido",""))</x:f>
      </x:c>
      <x:c r="AH19" s="167" t="n">
        <x:f>IF(AG19="",0,1)</x:f>
        <x:v>0</x:v>
      </x:c>
    </x:row>
    <x:row r="20" ht="32" customHeight="1">
      <x:c r="A20" s="27"/>
      <x:c r="B20" s="27"/>
      <x:c r="C20" s="40" t="str">
        <x:f>IF($B20="","",IFERROR(INDEX(Produtos!$B$5:$B$204,MATCH($B20,Produtos!$A$5:$A$204,0)),""))</x:f>
      </x:c>
      <x:c r="D20" s="170"/>
      <x:c r="E20" s="179"/>
      <x:c r="F20" s="179"/>
      <x:c r="G20" s="179"/>
      <x:c r="H20" s="40" t="str">
        <x:f>IF(A20="","",IF(OR(S20&lt;&gt;"",Listas!$B$13&lt;&gt;"OK"),"n.a.",G20-Listas!$B$6))</x:f>
      </x:c>
      <x:c r="I20" s="40"/>
      <x:c r="J20" s="40" t="str">
        <x:f>IF(A20="","",IF(OR(S20&lt;&gt;"",T20&gt;0,Listas!$B$13&lt;&gt;"OK"),"n.a.",SUMIFS(Movimentacoes!$H$5:$H$304,Movimentacoes!$D$5:$D$304,A20,Movimentacoes!$B$5:$B$304,"&lt;="&amp;Listas!$B$6)))</x:f>
      </x:c>
      <x:c r="K20" s="180"/>
      <x:c r="L20" s="181" t="str">
        <x:f>IF(A20="","",IF(OR(U20&gt;0,Listas!$B$13&lt;&gt;"OK"),"n.a.",J20*K20))</x:f>
      </x:c>
      <x:c r="M20" s="27"/>
      <x:c r="N20" s="40" t="str">
        <x:f>IF(A20="","",IF(OR(U20&gt;0,Listas!$B$13&lt;&gt;"OK"),"REVISAR DADOS",IF(J20=0,"SEM SALDO",IF(G20&lt;Listas!$B$6,"VENCIDO",IF(H20&lt;=Listas!$B$7,"CRÍTICO",IF(H20&lt;=Listas!$B$8,"VENCE NA JANELA","OK"))))))</x:f>
      </x:c>
      <x:c r="O20" s="41" t="str">
        <x:f>IF(A20="","",IF(AND(ISNUMBER(V20),V20&gt;0),G20,""))</x:f>
      </x:c>
      <x:c r="P20" s="40" t="str">
        <x:f>IF(A20="","",IF(OR(U20&gt;0,Listas!$B$13&lt;&gt;"OK"),"REVISAR DADOS",IF(J20=0,"ARQUIVAR LOTE",IF(M20="Quarentena","DECIDIR LIBERAÇÃO",IF(M20="Bloqueado","SEGREGAR E INVESTIGAR",IF(M20="Esgotado","REVISAR STATUS COM SALDO",IF(N20="VENCIDO","SEGREGAR E AVALIAR DESTINAÇÃO",IF(OR(N20="CRÍTICO",N20="VENCE NA JANELA"),"PRIORIZAR FEFO","MANTER ROTAÇÃO"))))))))</x:f>
      </x:c>
      <x:c r="Q20" s="27"/>
      <x:c r="R20" s="181" t="str">
        <x:f>IF(A20="","",IF(OR(U20&gt;0,Listas!$B$13&lt;&gt;"OK"),"n.a.",IF(OR(N20="VENCIDO",N20="CRÍTICO",N20="VENCE NA JANELA",M20="Quarentena",M20="Bloqueado"),L20,0)))</x:f>
      </x:c>
      <x:c r="S20" s="163" t="str">
        <x:f>IF(COUNTA(A20:B20,D20:G20,I20,K20,M20,Q20,AB20:AD20)=0,"",IF(OR(A20="",COUNTIFS($A$5:$A$204,A20)&lt;&gt;1),"Lote ausente ou duplicado",IF(OR(B20="",COUNTIFS(Produtos!$A$5:$A$204,B20)&lt;&gt;1),"SKU ausente ou desconhecido",IF(COUNTIFS(Produtos!$A$5:$A$204,B20,Produtos!$R$5:$R$204,1)&gt;0,"Revisar cadastro do produto",IF(OR(NOT(ISNUMBER(E20)),E20&lt;=0,NOT(ISNUMBER(G20)),G20&lt;=0,G20&lt;E20),"Recebimento ou validade inválida",IF(AND(F20&lt;&gt;"",OR(NOT(ISNUMBER(F20)),F20&lt;=0,F20&gt;E20)),"Fabricação inválida ou posterior ao recebimento",IF(OR(NOT(ISNUMBER(K20)),K20&lt;0,NOT(ISNUMBER(I20)),I20&lt;0),"Quantidade recebida ou custo inválido",IF(AND(M20&lt;&gt;"Liberado",M20&lt;&gt;"Quarentena",M20&lt;&gt;"Bloqueado",M20&lt;&gt;"Esgotado"),"Status de lote inválido",""))))))))</x:f>
      </x:c>
      <x:c r="T20" s="163" t="n">
        <x:f>IF(A20="",0,COUNTIFS(Movimentacoes!$D$5:$D$304,A20,Movimentacoes!$P$5:$P$304,1))</x:f>
        <x:v>0</x:v>
      </x:c>
      <x:c r="U20" s="163" t="n">
        <x:f>IF(COUNTA(A20:B20,D20:G20,I20,K20,M20,Q20,AB20:AD20)=0,0,IF(OR(S20&lt;&gt;"",T20&gt;0),1,IF(ISNUMBER(J20),IF(OR(J20&lt;0,AND(J20&gt;0,M20="Esgotado")),1,0),0)))</x:f>
        <x:v>0</x:v>
      </x:c>
      <x:c r="V20" s="163" t="str">
        <x:f>IF(A20="","",IF(OR(U20&gt;0,Listas!$B$13&lt;&gt;"OK"),"n.a.",IF(AND(J20&gt;0,M20="Liberado",G20&gt;=Listas!$B$6),J20,0)))</x:f>
      </x:c>
      <x:c r="W20" s="163" t="str">
        <x:f>IF(A20="","",IF(OR(U20&gt;0,Listas!$B$13&lt;&gt;"OK"),"n.a.",V20*K20))</x:f>
      </x:c>
      <x:c r="X20" s="167" t="n">
        <x:f>IF(COUNTA(A20:B20,D20:G20,I20,K20,M20,Q20,AB20:AD20)=0,0,IF(OR(Listas!$B$19="Todos",B20=Listas!$B$19,COUNTIFS(Produtos!$A$5:$A$204,B20)&lt;&gt;1),1,0))</x:f>
        <x:v>0</x:v>
      </x:c>
      <x:c r="Y20" s="167" t="str">
        <x:f>IF(X20=0,"",IF(Listas!$B$13&lt;&gt;"OK","Revisar parâmetros",IF(U20&gt;0,IF(S20&lt;&gt;"",S20,IF(T20&gt;0,"Revisar movimentos",IF(AND(ISNUMBER(J20),J20&lt;0),"Saldo negativo","Status esgotado com saldo"))),IF(AG20&lt;&gt;"",AG20&amp;". ","")&amp;IF(J20&lt;=0,"",IF(N20="VENCIDO","Validade vencida. ","")&amp;IF(M20="Quarentena","Em quarentena. ","")&amp;IF(M20="Bloqueado","Lote bloqueado. ","")&amp;IF(N20="CRÍTICO","Validade crítica. ","")&amp;IF(N20="VENCE NA JANELA","Vence na janela. ","")))))</x:f>
      </x:c>
      <x:c r="Z20" s="167" t="n">
        <x:f>IF(OR(X20=0,Y20=""),0,IF(OR(Listas!$B$13&lt;&gt;"OK",U20&gt;0,AH20&gt;0),1,IF(N20="VENCIDO",2,IF(OR(M20="Quarentena",M20="Bloqueado"),3,IF(N20="CRÍTICO",4,5)))))</x:f>
        <x:v>0</x:v>
      </x:c>
      <x:c r="AA20" s="167" t="n">
        <x:f>IF(Z20=0,0,COUNTIFS($Z$5:$Z$204,"&gt;0",$Z$5:$Z$204,"&lt;"&amp;Z20,$X$5:$X$204,1)+COUNTIFS($Z$5:Z20,Z20,$X$5:X20,1))</x:f>
        <x:v>0</x:v>
      </x:c>
      <x:c r="AB20" s="168"/>
      <x:c r="AC20" s="168"/>
      <x:c r="AD20" s="169"/>
      <x:c r="AE20" s="167" t="str">
        <x:f>IF(X20=0,"",IF(OR(U20&gt;0,Listas!$B$13&lt;&gt;"OK"),"Dados pendentes",IF(J20&lt;=0,"Sem saldo",IF(N20="VENCIDO","Vencidos",IF(OR(M20="Quarentena",M20="Bloqueado"),"Restritos vigentes",IF(OR(N20="CRÍTICO",N20="VENCE NA JANELA"),"Liberados na janela","Demais liberados"))))))</x:f>
      </x:c>
      <x:c r="AF20" s="167" t="str">
        <x:f>IF(A20&lt;&gt;"",A20,IF(U20&gt;0,"Sem ID (linha "&amp;ROW()&amp;")",""))</x:f>
      </x:c>
      <x:c r="AG20" s="167" t="str">
        <x:f>IF(AD20="","",IF(OR(NOT(ISNUMBER(AD20)),AD20&lt;=0),"Prazo da ação inválido",""))</x:f>
      </x:c>
      <x:c r="AH20" s="167" t="n">
        <x:f>IF(AG20="",0,1)</x:f>
        <x:v>0</x:v>
      </x:c>
    </x:row>
    <x:row r="21" ht="32" customHeight="1">
      <x:c r="A21" s="27"/>
      <x:c r="B21" s="27"/>
      <x:c r="C21" s="40" t="str">
        <x:f>IF($B21="","",IFERROR(INDEX(Produtos!$B$5:$B$204,MATCH($B21,Produtos!$A$5:$A$204,0)),""))</x:f>
      </x:c>
      <x:c r="D21" s="170"/>
      <x:c r="E21" s="179"/>
      <x:c r="F21" s="179"/>
      <x:c r="G21" s="179"/>
      <x:c r="H21" s="40" t="str">
        <x:f>IF(A21="","",IF(OR(S21&lt;&gt;"",Listas!$B$13&lt;&gt;"OK"),"n.a.",G21-Listas!$B$6))</x:f>
      </x:c>
      <x:c r="I21" s="40"/>
      <x:c r="J21" s="40" t="str">
        <x:f>IF(A21="","",IF(OR(S21&lt;&gt;"",T21&gt;0,Listas!$B$13&lt;&gt;"OK"),"n.a.",SUMIFS(Movimentacoes!$H$5:$H$304,Movimentacoes!$D$5:$D$304,A21,Movimentacoes!$B$5:$B$304,"&lt;="&amp;Listas!$B$6)))</x:f>
      </x:c>
      <x:c r="K21" s="180"/>
      <x:c r="L21" s="181" t="str">
        <x:f>IF(A21="","",IF(OR(U21&gt;0,Listas!$B$13&lt;&gt;"OK"),"n.a.",J21*K21))</x:f>
      </x:c>
      <x:c r="M21" s="27"/>
      <x:c r="N21" s="40" t="str">
        <x:f>IF(A21="","",IF(OR(U21&gt;0,Listas!$B$13&lt;&gt;"OK"),"REVISAR DADOS",IF(J21=0,"SEM SALDO",IF(G21&lt;Listas!$B$6,"VENCIDO",IF(H21&lt;=Listas!$B$7,"CRÍTICO",IF(H21&lt;=Listas!$B$8,"VENCE NA JANELA","OK"))))))</x:f>
      </x:c>
      <x:c r="O21" s="41" t="str">
        <x:f>IF(A21="","",IF(AND(ISNUMBER(V21),V21&gt;0),G21,""))</x:f>
      </x:c>
      <x:c r="P21" s="40" t="str">
        <x:f>IF(A21="","",IF(OR(U21&gt;0,Listas!$B$13&lt;&gt;"OK"),"REVISAR DADOS",IF(J21=0,"ARQUIVAR LOTE",IF(M21="Quarentena","DECIDIR LIBERAÇÃO",IF(M21="Bloqueado","SEGREGAR E INVESTIGAR",IF(M21="Esgotado","REVISAR STATUS COM SALDO",IF(N21="VENCIDO","SEGREGAR E AVALIAR DESTINAÇÃO",IF(OR(N21="CRÍTICO",N21="VENCE NA JANELA"),"PRIORIZAR FEFO","MANTER ROTAÇÃO"))))))))</x:f>
      </x:c>
      <x:c r="Q21" s="27"/>
      <x:c r="R21" s="181" t="str">
        <x:f>IF(A21="","",IF(OR(U21&gt;0,Listas!$B$13&lt;&gt;"OK"),"n.a.",IF(OR(N21="VENCIDO",N21="CRÍTICO",N21="VENCE NA JANELA",M21="Quarentena",M21="Bloqueado"),L21,0)))</x:f>
      </x:c>
      <x:c r="S21" s="163" t="str">
        <x:f>IF(COUNTA(A21:B21,D21:G21,I21,K21,M21,Q21,AB21:AD21)=0,"",IF(OR(A21="",COUNTIFS($A$5:$A$204,A21)&lt;&gt;1),"Lote ausente ou duplicado",IF(OR(B21="",COUNTIFS(Produtos!$A$5:$A$204,B21)&lt;&gt;1),"SKU ausente ou desconhecido",IF(COUNTIFS(Produtos!$A$5:$A$204,B21,Produtos!$R$5:$R$204,1)&gt;0,"Revisar cadastro do produto",IF(OR(NOT(ISNUMBER(E21)),E21&lt;=0,NOT(ISNUMBER(G21)),G21&lt;=0,G21&lt;E21),"Recebimento ou validade inválida",IF(AND(F21&lt;&gt;"",OR(NOT(ISNUMBER(F21)),F21&lt;=0,F21&gt;E21)),"Fabricação inválida ou posterior ao recebimento",IF(OR(NOT(ISNUMBER(K21)),K21&lt;0,NOT(ISNUMBER(I21)),I21&lt;0),"Quantidade recebida ou custo inválido",IF(AND(M21&lt;&gt;"Liberado",M21&lt;&gt;"Quarentena",M21&lt;&gt;"Bloqueado",M21&lt;&gt;"Esgotado"),"Status de lote inválido",""))))))))</x:f>
      </x:c>
      <x:c r="T21" s="163" t="n">
        <x:f>IF(A21="",0,COUNTIFS(Movimentacoes!$D$5:$D$304,A21,Movimentacoes!$P$5:$P$304,1))</x:f>
        <x:v>0</x:v>
      </x:c>
      <x:c r="U21" s="163" t="n">
        <x:f>IF(COUNTA(A21:B21,D21:G21,I21,K21,M21,Q21,AB21:AD21)=0,0,IF(OR(S21&lt;&gt;"",T21&gt;0),1,IF(ISNUMBER(J21),IF(OR(J21&lt;0,AND(J21&gt;0,M21="Esgotado")),1,0),0)))</x:f>
        <x:v>0</x:v>
      </x:c>
      <x:c r="V21" s="163" t="str">
        <x:f>IF(A21="","",IF(OR(U21&gt;0,Listas!$B$13&lt;&gt;"OK"),"n.a.",IF(AND(J21&gt;0,M21="Liberado",G21&gt;=Listas!$B$6),J21,0)))</x:f>
      </x:c>
      <x:c r="W21" s="163" t="str">
        <x:f>IF(A21="","",IF(OR(U21&gt;0,Listas!$B$13&lt;&gt;"OK"),"n.a.",V21*K21))</x:f>
      </x:c>
      <x:c r="X21" s="167" t="n">
        <x:f>IF(COUNTA(A21:B21,D21:G21,I21,K21,M21,Q21,AB21:AD21)=0,0,IF(OR(Listas!$B$19="Todos",B21=Listas!$B$19,COUNTIFS(Produtos!$A$5:$A$204,B21)&lt;&gt;1),1,0))</x:f>
        <x:v>0</x:v>
      </x:c>
      <x:c r="Y21" s="167" t="str">
        <x:f>IF(X21=0,"",IF(Listas!$B$13&lt;&gt;"OK","Revisar parâmetros",IF(U21&gt;0,IF(S21&lt;&gt;"",S21,IF(T21&gt;0,"Revisar movimentos",IF(AND(ISNUMBER(J21),J21&lt;0),"Saldo negativo","Status esgotado com saldo"))),IF(AG21&lt;&gt;"",AG21&amp;". ","")&amp;IF(J21&lt;=0,"",IF(N21="VENCIDO","Validade vencida. ","")&amp;IF(M21="Quarentena","Em quarentena. ","")&amp;IF(M21="Bloqueado","Lote bloqueado. ","")&amp;IF(N21="CRÍTICO","Validade crítica. ","")&amp;IF(N21="VENCE NA JANELA","Vence na janela. ","")))))</x:f>
      </x:c>
      <x:c r="Z21" s="167" t="n">
        <x:f>IF(OR(X21=0,Y21=""),0,IF(OR(Listas!$B$13&lt;&gt;"OK",U21&gt;0,AH21&gt;0),1,IF(N21="VENCIDO",2,IF(OR(M21="Quarentena",M21="Bloqueado"),3,IF(N21="CRÍTICO",4,5)))))</x:f>
        <x:v>0</x:v>
      </x:c>
      <x:c r="AA21" s="167" t="n">
        <x:f>IF(Z21=0,0,COUNTIFS($Z$5:$Z$204,"&gt;0",$Z$5:$Z$204,"&lt;"&amp;Z21,$X$5:$X$204,1)+COUNTIFS($Z$5:Z21,Z21,$X$5:X21,1))</x:f>
        <x:v>0</x:v>
      </x:c>
      <x:c r="AB21" s="168"/>
      <x:c r="AC21" s="168"/>
      <x:c r="AD21" s="169"/>
      <x:c r="AE21" s="167" t="str">
        <x:f>IF(X21=0,"",IF(OR(U21&gt;0,Listas!$B$13&lt;&gt;"OK"),"Dados pendentes",IF(J21&lt;=0,"Sem saldo",IF(N21="VENCIDO","Vencidos",IF(OR(M21="Quarentena",M21="Bloqueado"),"Restritos vigentes",IF(OR(N21="CRÍTICO",N21="VENCE NA JANELA"),"Liberados na janela","Demais liberados"))))))</x:f>
      </x:c>
      <x:c r="AF21" s="167" t="str">
        <x:f>IF(A21&lt;&gt;"",A21,IF(U21&gt;0,"Sem ID (linha "&amp;ROW()&amp;")",""))</x:f>
      </x:c>
      <x:c r="AG21" s="167" t="str">
        <x:f>IF(AD21="","",IF(OR(NOT(ISNUMBER(AD21)),AD21&lt;=0),"Prazo da ação inválido",""))</x:f>
      </x:c>
      <x:c r="AH21" s="167" t="n">
        <x:f>IF(AG21="",0,1)</x:f>
        <x:v>0</x:v>
      </x:c>
    </x:row>
    <x:row r="22" ht="32" customHeight="1">
      <x:c r="A22" s="27"/>
      <x:c r="B22" s="27"/>
      <x:c r="C22" s="40" t="str">
        <x:f>IF($B22="","",IFERROR(INDEX(Produtos!$B$5:$B$204,MATCH($B22,Produtos!$A$5:$A$204,0)),""))</x:f>
      </x:c>
      <x:c r="D22" s="170"/>
      <x:c r="E22" s="179"/>
      <x:c r="F22" s="179"/>
      <x:c r="G22" s="179"/>
      <x:c r="H22" s="40" t="str">
        <x:f>IF(A22="","",IF(OR(S22&lt;&gt;"",Listas!$B$13&lt;&gt;"OK"),"n.a.",G22-Listas!$B$6))</x:f>
      </x:c>
      <x:c r="I22" s="40"/>
      <x:c r="J22" s="40" t="str">
        <x:f>IF(A22="","",IF(OR(S22&lt;&gt;"",T22&gt;0,Listas!$B$13&lt;&gt;"OK"),"n.a.",SUMIFS(Movimentacoes!$H$5:$H$304,Movimentacoes!$D$5:$D$304,A22,Movimentacoes!$B$5:$B$304,"&lt;="&amp;Listas!$B$6)))</x:f>
      </x:c>
      <x:c r="K22" s="180"/>
      <x:c r="L22" s="181" t="str">
        <x:f>IF(A22="","",IF(OR(U22&gt;0,Listas!$B$13&lt;&gt;"OK"),"n.a.",J22*K22))</x:f>
      </x:c>
      <x:c r="M22" s="27"/>
      <x:c r="N22" s="40" t="str">
        <x:f>IF(A22="","",IF(OR(U22&gt;0,Listas!$B$13&lt;&gt;"OK"),"REVISAR DADOS",IF(J22=0,"SEM SALDO",IF(G22&lt;Listas!$B$6,"VENCIDO",IF(H22&lt;=Listas!$B$7,"CRÍTICO",IF(H22&lt;=Listas!$B$8,"VENCE NA JANELA","OK"))))))</x:f>
      </x:c>
      <x:c r="O22" s="41" t="str">
        <x:f>IF(A22="","",IF(AND(ISNUMBER(V22),V22&gt;0),G22,""))</x:f>
      </x:c>
      <x:c r="P22" s="40" t="str">
        <x:f>IF(A22="","",IF(OR(U22&gt;0,Listas!$B$13&lt;&gt;"OK"),"REVISAR DADOS",IF(J22=0,"ARQUIVAR LOTE",IF(M22="Quarentena","DECIDIR LIBERAÇÃO",IF(M22="Bloqueado","SEGREGAR E INVESTIGAR",IF(M22="Esgotado","REVISAR STATUS COM SALDO",IF(N22="VENCIDO","SEGREGAR E AVALIAR DESTINAÇÃO",IF(OR(N22="CRÍTICO",N22="VENCE NA JANELA"),"PRIORIZAR FEFO","MANTER ROTAÇÃO"))))))))</x:f>
      </x:c>
      <x:c r="Q22" s="27"/>
      <x:c r="R22" s="181" t="str">
        <x:f>IF(A22="","",IF(OR(U22&gt;0,Listas!$B$13&lt;&gt;"OK"),"n.a.",IF(OR(N22="VENCIDO",N22="CRÍTICO",N22="VENCE NA JANELA",M22="Quarentena",M22="Bloqueado"),L22,0)))</x:f>
      </x:c>
      <x:c r="S22" s="163" t="str">
        <x:f>IF(COUNTA(A22:B22,D22:G22,I22,K22,M22,Q22,AB22:AD22)=0,"",IF(OR(A22="",COUNTIFS($A$5:$A$204,A22)&lt;&gt;1),"Lote ausente ou duplicado",IF(OR(B22="",COUNTIFS(Produtos!$A$5:$A$204,B22)&lt;&gt;1),"SKU ausente ou desconhecido",IF(COUNTIFS(Produtos!$A$5:$A$204,B22,Produtos!$R$5:$R$204,1)&gt;0,"Revisar cadastro do produto",IF(OR(NOT(ISNUMBER(E22)),E22&lt;=0,NOT(ISNUMBER(G22)),G22&lt;=0,G22&lt;E22),"Recebimento ou validade inválida",IF(AND(F22&lt;&gt;"",OR(NOT(ISNUMBER(F22)),F22&lt;=0,F22&gt;E22)),"Fabricação inválida ou posterior ao recebimento",IF(OR(NOT(ISNUMBER(K22)),K22&lt;0,NOT(ISNUMBER(I22)),I22&lt;0),"Quantidade recebida ou custo inválido",IF(AND(M22&lt;&gt;"Liberado",M22&lt;&gt;"Quarentena",M22&lt;&gt;"Bloqueado",M22&lt;&gt;"Esgotado"),"Status de lote inválido",""))))))))</x:f>
      </x:c>
      <x:c r="T22" s="163" t="n">
        <x:f>IF(A22="",0,COUNTIFS(Movimentacoes!$D$5:$D$304,A22,Movimentacoes!$P$5:$P$304,1))</x:f>
        <x:v>0</x:v>
      </x:c>
      <x:c r="U22" s="163" t="n">
        <x:f>IF(COUNTA(A22:B22,D22:G22,I22,K22,M22,Q22,AB22:AD22)=0,0,IF(OR(S22&lt;&gt;"",T22&gt;0),1,IF(ISNUMBER(J22),IF(OR(J22&lt;0,AND(J22&gt;0,M22="Esgotado")),1,0),0)))</x:f>
        <x:v>0</x:v>
      </x:c>
      <x:c r="V22" s="163" t="str">
        <x:f>IF(A22="","",IF(OR(U22&gt;0,Listas!$B$13&lt;&gt;"OK"),"n.a.",IF(AND(J22&gt;0,M22="Liberado",G22&gt;=Listas!$B$6),J22,0)))</x:f>
      </x:c>
      <x:c r="W22" s="163" t="str">
        <x:f>IF(A22="","",IF(OR(U22&gt;0,Listas!$B$13&lt;&gt;"OK"),"n.a.",V22*K22))</x:f>
      </x:c>
      <x:c r="X22" s="167" t="n">
        <x:f>IF(COUNTA(A22:B22,D22:G22,I22,K22,M22,Q22,AB22:AD22)=0,0,IF(OR(Listas!$B$19="Todos",B22=Listas!$B$19,COUNTIFS(Produtos!$A$5:$A$204,B22)&lt;&gt;1),1,0))</x:f>
        <x:v>0</x:v>
      </x:c>
      <x:c r="Y22" s="167" t="str">
        <x:f>IF(X22=0,"",IF(Listas!$B$13&lt;&gt;"OK","Revisar parâmetros",IF(U22&gt;0,IF(S22&lt;&gt;"",S22,IF(T22&gt;0,"Revisar movimentos",IF(AND(ISNUMBER(J22),J22&lt;0),"Saldo negativo","Status esgotado com saldo"))),IF(AG22&lt;&gt;"",AG22&amp;". ","")&amp;IF(J22&lt;=0,"",IF(N22="VENCIDO","Validade vencida. ","")&amp;IF(M22="Quarentena","Em quarentena. ","")&amp;IF(M22="Bloqueado","Lote bloqueado. ","")&amp;IF(N22="CRÍTICO","Validade crítica. ","")&amp;IF(N22="VENCE NA JANELA","Vence na janela. ","")))))</x:f>
      </x:c>
      <x:c r="Z22" s="167" t="n">
        <x:f>IF(OR(X22=0,Y22=""),0,IF(OR(Listas!$B$13&lt;&gt;"OK",U22&gt;0,AH22&gt;0),1,IF(N22="VENCIDO",2,IF(OR(M22="Quarentena",M22="Bloqueado"),3,IF(N22="CRÍTICO",4,5)))))</x:f>
        <x:v>0</x:v>
      </x:c>
      <x:c r="AA22" s="167" t="n">
        <x:f>IF(Z22=0,0,COUNTIFS($Z$5:$Z$204,"&gt;0",$Z$5:$Z$204,"&lt;"&amp;Z22,$X$5:$X$204,1)+COUNTIFS($Z$5:Z22,Z22,$X$5:X22,1))</x:f>
        <x:v>0</x:v>
      </x:c>
      <x:c r="AB22" s="168"/>
      <x:c r="AC22" s="168"/>
      <x:c r="AD22" s="169"/>
      <x:c r="AE22" s="167" t="str">
        <x:f>IF(X22=0,"",IF(OR(U22&gt;0,Listas!$B$13&lt;&gt;"OK"),"Dados pendentes",IF(J22&lt;=0,"Sem saldo",IF(N22="VENCIDO","Vencidos",IF(OR(M22="Quarentena",M22="Bloqueado"),"Restritos vigentes",IF(OR(N22="CRÍTICO",N22="VENCE NA JANELA"),"Liberados na janela","Demais liberados"))))))</x:f>
      </x:c>
      <x:c r="AF22" s="167" t="str">
        <x:f>IF(A22&lt;&gt;"",A22,IF(U22&gt;0,"Sem ID (linha "&amp;ROW()&amp;")",""))</x:f>
      </x:c>
      <x:c r="AG22" s="167" t="str">
        <x:f>IF(AD22="","",IF(OR(NOT(ISNUMBER(AD22)),AD22&lt;=0),"Prazo da ação inválido",""))</x:f>
      </x:c>
      <x:c r="AH22" s="167" t="n">
        <x:f>IF(AG22="",0,1)</x:f>
        <x:v>0</x:v>
      </x:c>
    </x:row>
    <x:row r="23" ht="32" customHeight="1">
      <x:c r="A23" s="27"/>
      <x:c r="B23" s="27"/>
      <x:c r="C23" s="40" t="str">
        <x:f>IF($B23="","",IFERROR(INDEX(Produtos!$B$5:$B$204,MATCH($B23,Produtos!$A$5:$A$204,0)),""))</x:f>
      </x:c>
      <x:c r="D23" s="170"/>
      <x:c r="E23" s="179"/>
      <x:c r="F23" s="179"/>
      <x:c r="G23" s="179"/>
      <x:c r="H23" s="40" t="str">
        <x:f>IF(A23="","",IF(OR(S23&lt;&gt;"",Listas!$B$13&lt;&gt;"OK"),"n.a.",G23-Listas!$B$6))</x:f>
      </x:c>
      <x:c r="I23" s="40"/>
      <x:c r="J23" s="40" t="str">
        <x:f>IF(A23="","",IF(OR(S23&lt;&gt;"",T23&gt;0,Listas!$B$13&lt;&gt;"OK"),"n.a.",SUMIFS(Movimentacoes!$H$5:$H$304,Movimentacoes!$D$5:$D$304,A23,Movimentacoes!$B$5:$B$304,"&lt;="&amp;Listas!$B$6)))</x:f>
      </x:c>
      <x:c r="K23" s="180"/>
      <x:c r="L23" s="181" t="str">
        <x:f>IF(A23="","",IF(OR(U23&gt;0,Listas!$B$13&lt;&gt;"OK"),"n.a.",J23*K23))</x:f>
      </x:c>
      <x:c r="M23" s="27"/>
      <x:c r="N23" s="40" t="str">
        <x:f>IF(A23="","",IF(OR(U23&gt;0,Listas!$B$13&lt;&gt;"OK"),"REVISAR DADOS",IF(J23=0,"SEM SALDO",IF(G23&lt;Listas!$B$6,"VENCIDO",IF(H23&lt;=Listas!$B$7,"CRÍTICO",IF(H23&lt;=Listas!$B$8,"VENCE NA JANELA","OK"))))))</x:f>
      </x:c>
      <x:c r="O23" s="41" t="str">
        <x:f>IF(A23="","",IF(AND(ISNUMBER(V23),V23&gt;0),G23,""))</x:f>
      </x:c>
      <x:c r="P23" s="40" t="str">
        <x:f>IF(A23="","",IF(OR(U23&gt;0,Listas!$B$13&lt;&gt;"OK"),"REVISAR DADOS",IF(J23=0,"ARQUIVAR LOTE",IF(M23="Quarentena","DECIDIR LIBERAÇÃO",IF(M23="Bloqueado","SEGREGAR E INVESTIGAR",IF(M23="Esgotado","REVISAR STATUS COM SALDO",IF(N23="VENCIDO","SEGREGAR E AVALIAR DESTINAÇÃO",IF(OR(N23="CRÍTICO",N23="VENCE NA JANELA"),"PRIORIZAR FEFO","MANTER ROTAÇÃO"))))))))</x:f>
      </x:c>
      <x:c r="Q23" s="27"/>
      <x:c r="R23" s="181" t="str">
        <x:f>IF(A23="","",IF(OR(U23&gt;0,Listas!$B$13&lt;&gt;"OK"),"n.a.",IF(OR(N23="VENCIDO",N23="CRÍTICO",N23="VENCE NA JANELA",M23="Quarentena",M23="Bloqueado"),L23,0)))</x:f>
      </x:c>
      <x:c r="S23" s="163" t="str">
        <x:f>IF(COUNTA(A23:B23,D23:G23,I23,K23,M23,Q23,AB23:AD23)=0,"",IF(OR(A23="",COUNTIFS($A$5:$A$204,A23)&lt;&gt;1),"Lote ausente ou duplicado",IF(OR(B23="",COUNTIFS(Produtos!$A$5:$A$204,B23)&lt;&gt;1),"SKU ausente ou desconhecido",IF(COUNTIFS(Produtos!$A$5:$A$204,B23,Produtos!$R$5:$R$204,1)&gt;0,"Revisar cadastro do produto",IF(OR(NOT(ISNUMBER(E23)),E23&lt;=0,NOT(ISNUMBER(G23)),G23&lt;=0,G23&lt;E23),"Recebimento ou validade inválida",IF(AND(F23&lt;&gt;"",OR(NOT(ISNUMBER(F23)),F23&lt;=0,F23&gt;E23)),"Fabricação inválida ou posterior ao recebimento",IF(OR(NOT(ISNUMBER(K23)),K23&lt;0,NOT(ISNUMBER(I23)),I23&lt;0),"Quantidade recebida ou custo inválido",IF(AND(M23&lt;&gt;"Liberado",M23&lt;&gt;"Quarentena",M23&lt;&gt;"Bloqueado",M23&lt;&gt;"Esgotado"),"Status de lote inválido",""))))))))</x:f>
      </x:c>
      <x:c r="T23" s="163" t="n">
        <x:f>IF(A23="",0,COUNTIFS(Movimentacoes!$D$5:$D$304,A23,Movimentacoes!$P$5:$P$304,1))</x:f>
        <x:v>0</x:v>
      </x:c>
      <x:c r="U23" s="163" t="n">
        <x:f>IF(COUNTA(A23:B23,D23:G23,I23,K23,M23,Q23,AB23:AD23)=0,0,IF(OR(S23&lt;&gt;"",T23&gt;0),1,IF(ISNUMBER(J23),IF(OR(J23&lt;0,AND(J23&gt;0,M23="Esgotado")),1,0),0)))</x:f>
        <x:v>0</x:v>
      </x:c>
      <x:c r="V23" s="163" t="str">
        <x:f>IF(A23="","",IF(OR(U23&gt;0,Listas!$B$13&lt;&gt;"OK"),"n.a.",IF(AND(J23&gt;0,M23="Liberado",G23&gt;=Listas!$B$6),J23,0)))</x:f>
      </x:c>
      <x:c r="W23" s="163" t="str">
        <x:f>IF(A23="","",IF(OR(U23&gt;0,Listas!$B$13&lt;&gt;"OK"),"n.a.",V23*K23))</x:f>
      </x:c>
      <x:c r="X23" s="167" t="n">
        <x:f>IF(COUNTA(A23:B23,D23:G23,I23,K23,M23,Q23,AB23:AD23)=0,0,IF(OR(Listas!$B$19="Todos",B23=Listas!$B$19,COUNTIFS(Produtos!$A$5:$A$204,B23)&lt;&gt;1),1,0))</x:f>
        <x:v>0</x:v>
      </x:c>
      <x:c r="Y23" s="167" t="str">
        <x:f>IF(X23=0,"",IF(Listas!$B$13&lt;&gt;"OK","Revisar parâmetros",IF(U23&gt;0,IF(S23&lt;&gt;"",S23,IF(T23&gt;0,"Revisar movimentos",IF(AND(ISNUMBER(J23),J23&lt;0),"Saldo negativo","Status esgotado com saldo"))),IF(AG23&lt;&gt;"",AG23&amp;". ","")&amp;IF(J23&lt;=0,"",IF(N23="VENCIDO","Validade vencida. ","")&amp;IF(M23="Quarentena","Em quarentena. ","")&amp;IF(M23="Bloqueado","Lote bloqueado. ","")&amp;IF(N23="CRÍTICO","Validade crítica. ","")&amp;IF(N23="VENCE NA JANELA","Vence na janela. ","")))))</x:f>
      </x:c>
      <x:c r="Z23" s="167" t="n">
        <x:f>IF(OR(X23=0,Y23=""),0,IF(OR(Listas!$B$13&lt;&gt;"OK",U23&gt;0,AH23&gt;0),1,IF(N23="VENCIDO",2,IF(OR(M23="Quarentena",M23="Bloqueado"),3,IF(N23="CRÍTICO",4,5)))))</x:f>
        <x:v>0</x:v>
      </x:c>
      <x:c r="AA23" s="167" t="n">
        <x:f>IF(Z23=0,0,COUNTIFS($Z$5:$Z$204,"&gt;0",$Z$5:$Z$204,"&lt;"&amp;Z23,$X$5:$X$204,1)+COUNTIFS($Z$5:Z23,Z23,$X$5:X23,1))</x:f>
        <x:v>0</x:v>
      </x:c>
      <x:c r="AB23" s="168"/>
      <x:c r="AC23" s="168"/>
      <x:c r="AD23" s="169"/>
      <x:c r="AE23" s="167" t="str">
        <x:f>IF(X23=0,"",IF(OR(U23&gt;0,Listas!$B$13&lt;&gt;"OK"),"Dados pendentes",IF(J23&lt;=0,"Sem saldo",IF(N23="VENCIDO","Vencidos",IF(OR(M23="Quarentena",M23="Bloqueado"),"Restritos vigentes",IF(OR(N23="CRÍTICO",N23="VENCE NA JANELA"),"Liberados na janela","Demais liberados"))))))</x:f>
      </x:c>
      <x:c r="AF23" s="167" t="str">
        <x:f>IF(A23&lt;&gt;"",A23,IF(U23&gt;0,"Sem ID (linha "&amp;ROW()&amp;")",""))</x:f>
      </x:c>
      <x:c r="AG23" s="167" t="str">
        <x:f>IF(AD23="","",IF(OR(NOT(ISNUMBER(AD23)),AD23&lt;=0),"Prazo da ação inválido",""))</x:f>
      </x:c>
      <x:c r="AH23" s="167" t="n">
        <x:f>IF(AG23="",0,1)</x:f>
        <x:v>0</x:v>
      </x:c>
    </x:row>
    <x:row r="24" ht="32" customHeight="1">
      <x:c r="A24" s="27"/>
      <x:c r="B24" s="27"/>
      <x:c r="C24" s="40" t="str">
        <x:f>IF($B24="","",IFERROR(INDEX(Produtos!$B$5:$B$204,MATCH($B24,Produtos!$A$5:$A$204,0)),""))</x:f>
      </x:c>
      <x:c r="D24" s="170"/>
      <x:c r="E24" s="179"/>
      <x:c r="F24" s="179"/>
      <x:c r="G24" s="179"/>
      <x:c r="H24" s="40" t="str">
        <x:f>IF(A24="","",IF(OR(S24&lt;&gt;"",Listas!$B$13&lt;&gt;"OK"),"n.a.",G24-Listas!$B$6))</x:f>
      </x:c>
      <x:c r="I24" s="40"/>
      <x:c r="J24" s="40" t="str">
        <x:f>IF(A24="","",IF(OR(S24&lt;&gt;"",T24&gt;0,Listas!$B$13&lt;&gt;"OK"),"n.a.",SUMIFS(Movimentacoes!$H$5:$H$304,Movimentacoes!$D$5:$D$304,A24,Movimentacoes!$B$5:$B$304,"&lt;="&amp;Listas!$B$6)))</x:f>
      </x:c>
      <x:c r="K24" s="180"/>
      <x:c r="L24" s="181" t="str">
        <x:f>IF(A24="","",IF(OR(U24&gt;0,Listas!$B$13&lt;&gt;"OK"),"n.a.",J24*K24))</x:f>
      </x:c>
      <x:c r="M24" s="27"/>
      <x:c r="N24" s="40" t="str">
        <x:f>IF(A24="","",IF(OR(U24&gt;0,Listas!$B$13&lt;&gt;"OK"),"REVISAR DADOS",IF(J24=0,"SEM SALDO",IF(G24&lt;Listas!$B$6,"VENCIDO",IF(H24&lt;=Listas!$B$7,"CRÍTICO",IF(H24&lt;=Listas!$B$8,"VENCE NA JANELA","OK"))))))</x:f>
      </x:c>
      <x:c r="O24" s="41" t="str">
        <x:f>IF(A24="","",IF(AND(ISNUMBER(V24),V24&gt;0),G24,""))</x:f>
      </x:c>
      <x:c r="P24" s="40" t="str">
        <x:f>IF(A24="","",IF(OR(U24&gt;0,Listas!$B$13&lt;&gt;"OK"),"REVISAR DADOS",IF(J24=0,"ARQUIVAR LOTE",IF(M24="Quarentena","DECIDIR LIBERAÇÃO",IF(M24="Bloqueado","SEGREGAR E INVESTIGAR",IF(M24="Esgotado","REVISAR STATUS COM SALDO",IF(N24="VENCIDO","SEGREGAR E AVALIAR DESTINAÇÃO",IF(OR(N24="CRÍTICO",N24="VENCE NA JANELA"),"PRIORIZAR FEFO","MANTER ROTAÇÃO"))))))))</x:f>
      </x:c>
      <x:c r="Q24" s="27"/>
      <x:c r="R24" s="181" t="str">
        <x:f>IF(A24="","",IF(OR(U24&gt;0,Listas!$B$13&lt;&gt;"OK"),"n.a.",IF(OR(N24="VENCIDO",N24="CRÍTICO",N24="VENCE NA JANELA",M24="Quarentena",M24="Bloqueado"),L24,0)))</x:f>
      </x:c>
      <x:c r="S24" s="163" t="str">
        <x:f>IF(COUNTA(A24:B24,D24:G24,I24,K24,M24,Q24,AB24:AD24)=0,"",IF(OR(A24="",COUNTIFS($A$5:$A$204,A24)&lt;&gt;1),"Lote ausente ou duplicado",IF(OR(B24="",COUNTIFS(Produtos!$A$5:$A$204,B24)&lt;&gt;1),"SKU ausente ou desconhecido",IF(COUNTIFS(Produtos!$A$5:$A$204,B24,Produtos!$R$5:$R$204,1)&gt;0,"Revisar cadastro do produto",IF(OR(NOT(ISNUMBER(E24)),E24&lt;=0,NOT(ISNUMBER(G24)),G24&lt;=0,G24&lt;E24),"Recebimento ou validade inválida",IF(AND(F24&lt;&gt;"",OR(NOT(ISNUMBER(F24)),F24&lt;=0,F24&gt;E24)),"Fabricação inválida ou posterior ao recebimento",IF(OR(NOT(ISNUMBER(K24)),K24&lt;0,NOT(ISNUMBER(I24)),I24&lt;0),"Quantidade recebida ou custo inválido",IF(AND(M24&lt;&gt;"Liberado",M24&lt;&gt;"Quarentena",M24&lt;&gt;"Bloqueado",M24&lt;&gt;"Esgotado"),"Status de lote inválido",""))))))))</x:f>
      </x:c>
      <x:c r="T24" s="163" t="n">
        <x:f>IF(A24="",0,COUNTIFS(Movimentacoes!$D$5:$D$304,A24,Movimentacoes!$P$5:$P$304,1))</x:f>
        <x:v>0</x:v>
      </x:c>
      <x:c r="U24" s="163" t="n">
        <x:f>IF(COUNTA(A24:B24,D24:G24,I24,K24,M24,Q24,AB24:AD24)=0,0,IF(OR(S24&lt;&gt;"",T24&gt;0),1,IF(ISNUMBER(J24),IF(OR(J24&lt;0,AND(J24&gt;0,M24="Esgotado")),1,0),0)))</x:f>
        <x:v>0</x:v>
      </x:c>
      <x:c r="V24" s="163" t="str">
        <x:f>IF(A24="","",IF(OR(U24&gt;0,Listas!$B$13&lt;&gt;"OK"),"n.a.",IF(AND(J24&gt;0,M24="Liberado",G24&gt;=Listas!$B$6),J24,0)))</x:f>
      </x:c>
      <x:c r="W24" s="163" t="str">
        <x:f>IF(A24="","",IF(OR(U24&gt;0,Listas!$B$13&lt;&gt;"OK"),"n.a.",V24*K24))</x:f>
      </x:c>
      <x:c r="X24" s="167" t="n">
        <x:f>IF(COUNTA(A24:B24,D24:G24,I24,K24,M24,Q24,AB24:AD24)=0,0,IF(OR(Listas!$B$19="Todos",B24=Listas!$B$19,COUNTIFS(Produtos!$A$5:$A$204,B24)&lt;&gt;1),1,0))</x:f>
        <x:v>0</x:v>
      </x:c>
      <x:c r="Y24" s="167" t="str">
        <x:f>IF(X24=0,"",IF(Listas!$B$13&lt;&gt;"OK","Revisar parâmetros",IF(U24&gt;0,IF(S24&lt;&gt;"",S24,IF(T24&gt;0,"Revisar movimentos",IF(AND(ISNUMBER(J24),J24&lt;0),"Saldo negativo","Status esgotado com saldo"))),IF(AG24&lt;&gt;"",AG24&amp;". ","")&amp;IF(J24&lt;=0,"",IF(N24="VENCIDO","Validade vencida. ","")&amp;IF(M24="Quarentena","Em quarentena. ","")&amp;IF(M24="Bloqueado","Lote bloqueado. ","")&amp;IF(N24="CRÍTICO","Validade crítica. ","")&amp;IF(N24="VENCE NA JANELA","Vence na janela. ","")))))</x:f>
      </x:c>
      <x:c r="Z24" s="167" t="n">
        <x:f>IF(OR(X24=0,Y24=""),0,IF(OR(Listas!$B$13&lt;&gt;"OK",U24&gt;0,AH24&gt;0),1,IF(N24="VENCIDO",2,IF(OR(M24="Quarentena",M24="Bloqueado"),3,IF(N24="CRÍTICO",4,5)))))</x:f>
        <x:v>0</x:v>
      </x:c>
      <x:c r="AA24" s="167" t="n">
        <x:f>IF(Z24=0,0,COUNTIFS($Z$5:$Z$204,"&gt;0",$Z$5:$Z$204,"&lt;"&amp;Z24,$X$5:$X$204,1)+COUNTIFS($Z$5:Z24,Z24,$X$5:X24,1))</x:f>
        <x:v>0</x:v>
      </x:c>
      <x:c r="AB24" s="168"/>
      <x:c r="AC24" s="168"/>
      <x:c r="AD24" s="169"/>
      <x:c r="AE24" s="167" t="str">
        <x:f>IF(X24=0,"",IF(OR(U24&gt;0,Listas!$B$13&lt;&gt;"OK"),"Dados pendentes",IF(J24&lt;=0,"Sem saldo",IF(N24="VENCIDO","Vencidos",IF(OR(M24="Quarentena",M24="Bloqueado"),"Restritos vigentes",IF(OR(N24="CRÍTICO",N24="VENCE NA JANELA"),"Liberados na janela","Demais liberados"))))))</x:f>
      </x:c>
      <x:c r="AF24" s="167" t="str">
        <x:f>IF(A24&lt;&gt;"",A24,IF(U24&gt;0,"Sem ID (linha "&amp;ROW()&amp;")",""))</x:f>
      </x:c>
      <x:c r="AG24" s="167" t="str">
        <x:f>IF(AD24="","",IF(OR(NOT(ISNUMBER(AD24)),AD24&lt;=0),"Prazo da ação inválido",""))</x:f>
      </x:c>
      <x:c r="AH24" s="167" t="n">
        <x:f>IF(AG24="",0,1)</x:f>
        <x:v>0</x:v>
      </x:c>
    </x:row>
    <x:row r="25" ht="32" customHeight="1">
      <x:c r="A25" s="27"/>
      <x:c r="B25" s="27"/>
      <x:c r="C25" s="40" t="str">
        <x:f>IF($B25="","",IFERROR(INDEX(Produtos!$B$5:$B$204,MATCH($B25,Produtos!$A$5:$A$204,0)),""))</x:f>
      </x:c>
      <x:c r="D25" s="170"/>
      <x:c r="E25" s="179"/>
      <x:c r="F25" s="179"/>
      <x:c r="G25" s="179"/>
      <x:c r="H25" s="40" t="str">
        <x:f>IF(A25="","",IF(OR(S25&lt;&gt;"",Listas!$B$13&lt;&gt;"OK"),"n.a.",G25-Listas!$B$6))</x:f>
      </x:c>
      <x:c r="I25" s="40"/>
      <x:c r="J25" s="40" t="str">
        <x:f>IF(A25="","",IF(OR(S25&lt;&gt;"",T25&gt;0,Listas!$B$13&lt;&gt;"OK"),"n.a.",SUMIFS(Movimentacoes!$H$5:$H$304,Movimentacoes!$D$5:$D$304,A25,Movimentacoes!$B$5:$B$304,"&lt;="&amp;Listas!$B$6)))</x:f>
      </x:c>
      <x:c r="K25" s="180"/>
      <x:c r="L25" s="181" t="str">
        <x:f>IF(A25="","",IF(OR(U25&gt;0,Listas!$B$13&lt;&gt;"OK"),"n.a.",J25*K25))</x:f>
      </x:c>
      <x:c r="M25" s="27"/>
      <x:c r="N25" s="40" t="str">
        <x:f>IF(A25="","",IF(OR(U25&gt;0,Listas!$B$13&lt;&gt;"OK"),"REVISAR DADOS",IF(J25=0,"SEM SALDO",IF(G25&lt;Listas!$B$6,"VENCIDO",IF(H25&lt;=Listas!$B$7,"CRÍTICO",IF(H25&lt;=Listas!$B$8,"VENCE NA JANELA","OK"))))))</x:f>
      </x:c>
      <x:c r="O25" s="41" t="str">
        <x:f>IF(A25="","",IF(AND(ISNUMBER(V25),V25&gt;0),G25,""))</x:f>
      </x:c>
      <x:c r="P25" s="40" t="str">
        <x:f>IF(A25="","",IF(OR(U25&gt;0,Listas!$B$13&lt;&gt;"OK"),"REVISAR DADOS",IF(J25=0,"ARQUIVAR LOTE",IF(M25="Quarentena","DECIDIR LIBERAÇÃO",IF(M25="Bloqueado","SEGREGAR E INVESTIGAR",IF(M25="Esgotado","REVISAR STATUS COM SALDO",IF(N25="VENCIDO","SEGREGAR E AVALIAR DESTINAÇÃO",IF(OR(N25="CRÍTICO",N25="VENCE NA JANELA"),"PRIORIZAR FEFO","MANTER ROTAÇÃO"))))))))</x:f>
      </x:c>
      <x:c r="Q25" s="27"/>
      <x:c r="R25" s="181" t="str">
        <x:f>IF(A25="","",IF(OR(U25&gt;0,Listas!$B$13&lt;&gt;"OK"),"n.a.",IF(OR(N25="VENCIDO",N25="CRÍTICO",N25="VENCE NA JANELA",M25="Quarentena",M25="Bloqueado"),L25,0)))</x:f>
      </x:c>
      <x:c r="S25" s="163" t="str">
        <x:f>IF(COUNTA(A25:B25,D25:G25,I25,K25,M25,Q25,AB25:AD25)=0,"",IF(OR(A25="",COUNTIFS($A$5:$A$204,A25)&lt;&gt;1),"Lote ausente ou duplicado",IF(OR(B25="",COUNTIFS(Produtos!$A$5:$A$204,B25)&lt;&gt;1),"SKU ausente ou desconhecido",IF(COUNTIFS(Produtos!$A$5:$A$204,B25,Produtos!$R$5:$R$204,1)&gt;0,"Revisar cadastro do produto",IF(OR(NOT(ISNUMBER(E25)),E25&lt;=0,NOT(ISNUMBER(G25)),G25&lt;=0,G25&lt;E25),"Recebimento ou validade inválida",IF(AND(F25&lt;&gt;"",OR(NOT(ISNUMBER(F25)),F25&lt;=0,F25&gt;E25)),"Fabricação inválida ou posterior ao recebimento",IF(OR(NOT(ISNUMBER(K25)),K25&lt;0,NOT(ISNUMBER(I25)),I25&lt;0),"Quantidade recebida ou custo inválido",IF(AND(M25&lt;&gt;"Liberado",M25&lt;&gt;"Quarentena",M25&lt;&gt;"Bloqueado",M25&lt;&gt;"Esgotado"),"Status de lote inválido",""))))))))</x:f>
      </x:c>
      <x:c r="T25" s="163" t="n">
        <x:f>IF(A25="",0,COUNTIFS(Movimentacoes!$D$5:$D$304,A25,Movimentacoes!$P$5:$P$304,1))</x:f>
        <x:v>0</x:v>
      </x:c>
      <x:c r="U25" s="163" t="n">
        <x:f>IF(COUNTA(A25:B25,D25:G25,I25,K25,M25,Q25,AB25:AD25)=0,0,IF(OR(S25&lt;&gt;"",T25&gt;0),1,IF(ISNUMBER(J25),IF(OR(J25&lt;0,AND(J25&gt;0,M25="Esgotado")),1,0),0)))</x:f>
        <x:v>0</x:v>
      </x:c>
      <x:c r="V25" s="163" t="str">
        <x:f>IF(A25="","",IF(OR(U25&gt;0,Listas!$B$13&lt;&gt;"OK"),"n.a.",IF(AND(J25&gt;0,M25="Liberado",G25&gt;=Listas!$B$6),J25,0)))</x:f>
      </x:c>
      <x:c r="W25" s="163" t="str">
        <x:f>IF(A25="","",IF(OR(U25&gt;0,Listas!$B$13&lt;&gt;"OK"),"n.a.",V25*K25))</x:f>
      </x:c>
      <x:c r="X25" s="167" t="n">
        <x:f>IF(COUNTA(A25:B25,D25:G25,I25,K25,M25,Q25,AB25:AD25)=0,0,IF(OR(Listas!$B$19="Todos",B25=Listas!$B$19,COUNTIFS(Produtos!$A$5:$A$204,B25)&lt;&gt;1),1,0))</x:f>
        <x:v>0</x:v>
      </x:c>
      <x:c r="Y25" s="167" t="str">
        <x:f>IF(X25=0,"",IF(Listas!$B$13&lt;&gt;"OK","Revisar parâmetros",IF(U25&gt;0,IF(S25&lt;&gt;"",S25,IF(T25&gt;0,"Revisar movimentos",IF(AND(ISNUMBER(J25),J25&lt;0),"Saldo negativo","Status esgotado com saldo"))),IF(AG25&lt;&gt;"",AG25&amp;". ","")&amp;IF(J25&lt;=0,"",IF(N25="VENCIDO","Validade vencida. ","")&amp;IF(M25="Quarentena","Em quarentena. ","")&amp;IF(M25="Bloqueado","Lote bloqueado. ","")&amp;IF(N25="CRÍTICO","Validade crítica. ","")&amp;IF(N25="VENCE NA JANELA","Vence na janela. ","")))))</x:f>
      </x:c>
      <x:c r="Z25" s="167" t="n">
        <x:f>IF(OR(X25=0,Y25=""),0,IF(OR(Listas!$B$13&lt;&gt;"OK",U25&gt;0,AH25&gt;0),1,IF(N25="VENCIDO",2,IF(OR(M25="Quarentena",M25="Bloqueado"),3,IF(N25="CRÍTICO",4,5)))))</x:f>
        <x:v>0</x:v>
      </x:c>
      <x:c r="AA25" s="167" t="n">
        <x:f>IF(Z25=0,0,COUNTIFS($Z$5:$Z$204,"&gt;0",$Z$5:$Z$204,"&lt;"&amp;Z25,$X$5:$X$204,1)+COUNTIFS($Z$5:Z25,Z25,$X$5:X25,1))</x:f>
        <x:v>0</x:v>
      </x:c>
      <x:c r="AB25" s="168"/>
      <x:c r="AC25" s="168"/>
      <x:c r="AD25" s="169"/>
      <x:c r="AE25" s="167" t="str">
        <x:f>IF(X25=0,"",IF(OR(U25&gt;0,Listas!$B$13&lt;&gt;"OK"),"Dados pendentes",IF(J25&lt;=0,"Sem saldo",IF(N25="VENCIDO","Vencidos",IF(OR(M25="Quarentena",M25="Bloqueado"),"Restritos vigentes",IF(OR(N25="CRÍTICO",N25="VENCE NA JANELA"),"Liberados na janela","Demais liberados"))))))</x:f>
      </x:c>
      <x:c r="AF25" s="167" t="str">
        <x:f>IF(A25&lt;&gt;"",A25,IF(U25&gt;0,"Sem ID (linha "&amp;ROW()&amp;")",""))</x:f>
      </x:c>
      <x:c r="AG25" s="167" t="str">
        <x:f>IF(AD25="","",IF(OR(NOT(ISNUMBER(AD25)),AD25&lt;=0),"Prazo da ação inválido",""))</x:f>
      </x:c>
      <x:c r="AH25" s="167" t="n">
        <x:f>IF(AG25="",0,1)</x:f>
        <x:v>0</x:v>
      </x:c>
    </x:row>
    <x:row r="26" ht="32" customHeight="1">
      <x:c r="A26" s="27"/>
      <x:c r="B26" s="27"/>
      <x:c r="C26" s="40" t="str">
        <x:f>IF($B26="","",IFERROR(INDEX(Produtos!$B$5:$B$204,MATCH($B26,Produtos!$A$5:$A$204,0)),""))</x:f>
      </x:c>
      <x:c r="D26" s="170"/>
      <x:c r="E26" s="179"/>
      <x:c r="F26" s="179"/>
      <x:c r="G26" s="179"/>
      <x:c r="H26" s="40" t="str">
        <x:f>IF(A26="","",IF(OR(S26&lt;&gt;"",Listas!$B$13&lt;&gt;"OK"),"n.a.",G26-Listas!$B$6))</x:f>
      </x:c>
      <x:c r="I26" s="40"/>
      <x:c r="J26" s="40" t="str">
        <x:f>IF(A26="","",IF(OR(S26&lt;&gt;"",T26&gt;0,Listas!$B$13&lt;&gt;"OK"),"n.a.",SUMIFS(Movimentacoes!$H$5:$H$304,Movimentacoes!$D$5:$D$304,A26,Movimentacoes!$B$5:$B$304,"&lt;="&amp;Listas!$B$6)))</x:f>
      </x:c>
      <x:c r="K26" s="180"/>
      <x:c r="L26" s="181" t="str">
        <x:f>IF(A26="","",IF(OR(U26&gt;0,Listas!$B$13&lt;&gt;"OK"),"n.a.",J26*K26))</x:f>
      </x:c>
      <x:c r="M26" s="27"/>
      <x:c r="N26" s="40" t="str">
        <x:f>IF(A26="","",IF(OR(U26&gt;0,Listas!$B$13&lt;&gt;"OK"),"REVISAR DADOS",IF(J26=0,"SEM SALDO",IF(G26&lt;Listas!$B$6,"VENCIDO",IF(H26&lt;=Listas!$B$7,"CRÍTICO",IF(H26&lt;=Listas!$B$8,"VENCE NA JANELA","OK"))))))</x:f>
      </x:c>
      <x:c r="O26" s="41" t="str">
        <x:f>IF(A26="","",IF(AND(ISNUMBER(V26),V26&gt;0),G26,""))</x:f>
      </x:c>
      <x:c r="P26" s="40" t="str">
        <x:f>IF(A26="","",IF(OR(U26&gt;0,Listas!$B$13&lt;&gt;"OK"),"REVISAR DADOS",IF(J26=0,"ARQUIVAR LOTE",IF(M26="Quarentena","DECIDIR LIBERAÇÃO",IF(M26="Bloqueado","SEGREGAR E INVESTIGAR",IF(M26="Esgotado","REVISAR STATUS COM SALDO",IF(N26="VENCIDO","SEGREGAR E AVALIAR DESTINAÇÃO",IF(OR(N26="CRÍTICO",N26="VENCE NA JANELA"),"PRIORIZAR FEFO","MANTER ROTAÇÃO"))))))))</x:f>
      </x:c>
      <x:c r="Q26" s="27"/>
      <x:c r="R26" s="181" t="str">
        <x:f>IF(A26="","",IF(OR(U26&gt;0,Listas!$B$13&lt;&gt;"OK"),"n.a.",IF(OR(N26="VENCIDO",N26="CRÍTICO",N26="VENCE NA JANELA",M26="Quarentena",M26="Bloqueado"),L26,0)))</x:f>
      </x:c>
      <x:c r="S26" s="163" t="str">
        <x:f>IF(COUNTA(A26:B26,D26:G26,I26,K26,M26,Q26,AB26:AD26)=0,"",IF(OR(A26="",COUNTIFS($A$5:$A$204,A26)&lt;&gt;1),"Lote ausente ou duplicado",IF(OR(B26="",COUNTIFS(Produtos!$A$5:$A$204,B26)&lt;&gt;1),"SKU ausente ou desconhecido",IF(COUNTIFS(Produtos!$A$5:$A$204,B26,Produtos!$R$5:$R$204,1)&gt;0,"Revisar cadastro do produto",IF(OR(NOT(ISNUMBER(E26)),E26&lt;=0,NOT(ISNUMBER(G26)),G26&lt;=0,G26&lt;E26),"Recebimento ou validade inválida",IF(AND(F26&lt;&gt;"",OR(NOT(ISNUMBER(F26)),F26&lt;=0,F26&gt;E26)),"Fabricação inválida ou posterior ao recebimento",IF(OR(NOT(ISNUMBER(K26)),K26&lt;0,NOT(ISNUMBER(I26)),I26&lt;0),"Quantidade recebida ou custo inválido",IF(AND(M26&lt;&gt;"Liberado",M26&lt;&gt;"Quarentena",M26&lt;&gt;"Bloqueado",M26&lt;&gt;"Esgotado"),"Status de lote inválido",""))))))))</x:f>
      </x:c>
      <x:c r="T26" s="163" t="n">
        <x:f>IF(A26="",0,COUNTIFS(Movimentacoes!$D$5:$D$304,A26,Movimentacoes!$P$5:$P$304,1))</x:f>
        <x:v>0</x:v>
      </x:c>
      <x:c r="U26" s="163" t="n">
        <x:f>IF(COUNTA(A26:B26,D26:G26,I26,K26,M26,Q26,AB26:AD26)=0,0,IF(OR(S26&lt;&gt;"",T26&gt;0),1,IF(ISNUMBER(J26),IF(OR(J26&lt;0,AND(J26&gt;0,M26="Esgotado")),1,0),0)))</x:f>
        <x:v>0</x:v>
      </x:c>
      <x:c r="V26" s="163" t="str">
        <x:f>IF(A26="","",IF(OR(U26&gt;0,Listas!$B$13&lt;&gt;"OK"),"n.a.",IF(AND(J26&gt;0,M26="Liberado",G26&gt;=Listas!$B$6),J26,0)))</x:f>
      </x:c>
      <x:c r="W26" s="163" t="str">
        <x:f>IF(A26="","",IF(OR(U26&gt;0,Listas!$B$13&lt;&gt;"OK"),"n.a.",V26*K26))</x:f>
      </x:c>
      <x:c r="X26" s="167" t="n">
        <x:f>IF(COUNTA(A26:B26,D26:G26,I26,K26,M26,Q26,AB26:AD26)=0,0,IF(OR(Listas!$B$19="Todos",B26=Listas!$B$19,COUNTIFS(Produtos!$A$5:$A$204,B26)&lt;&gt;1),1,0))</x:f>
        <x:v>0</x:v>
      </x:c>
      <x:c r="Y26" s="167" t="str">
        <x:f>IF(X26=0,"",IF(Listas!$B$13&lt;&gt;"OK","Revisar parâmetros",IF(U26&gt;0,IF(S26&lt;&gt;"",S26,IF(T26&gt;0,"Revisar movimentos",IF(AND(ISNUMBER(J26),J26&lt;0),"Saldo negativo","Status esgotado com saldo"))),IF(AG26&lt;&gt;"",AG26&amp;". ","")&amp;IF(J26&lt;=0,"",IF(N26="VENCIDO","Validade vencida. ","")&amp;IF(M26="Quarentena","Em quarentena. ","")&amp;IF(M26="Bloqueado","Lote bloqueado. ","")&amp;IF(N26="CRÍTICO","Validade crítica. ","")&amp;IF(N26="VENCE NA JANELA","Vence na janela. ","")))))</x:f>
      </x:c>
      <x:c r="Z26" s="167" t="n">
        <x:f>IF(OR(X26=0,Y26=""),0,IF(OR(Listas!$B$13&lt;&gt;"OK",U26&gt;0,AH26&gt;0),1,IF(N26="VENCIDO",2,IF(OR(M26="Quarentena",M26="Bloqueado"),3,IF(N26="CRÍTICO",4,5)))))</x:f>
        <x:v>0</x:v>
      </x:c>
      <x:c r="AA26" s="167" t="n">
        <x:f>IF(Z26=0,0,COUNTIFS($Z$5:$Z$204,"&gt;0",$Z$5:$Z$204,"&lt;"&amp;Z26,$X$5:$X$204,1)+COUNTIFS($Z$5:Z26,Z26,$X$5:X26,1))</x:f>
        <x:v>0</x:v>
      </x:c>
      <x:c r="AB26" s="168"/>
      <x:c r="AC26" s="168"/>
      <x:c r="AD26" s="169"/>
      <x:c r="AE26" s="167" t="str">
        <x:f>IF(X26=0,"",IF(OR(U26&gt;0,Listas!$B$13&lt;&gt;"OK"),"Dados pendentes",IF(J26&lt;=0,"Sem saldo",IF(N26="VENCIDO","Vencidos",IF(OR(M26="Quarentena",M26="Bloqueado"),"Restritos vigentes",IF(OR(N26="CRÍTICO",N26="VENCE NA JANELA"),"Liberados na janela","Demais liberados"))))))</x:f>
      </x:c>
      <x:c r="AF26" s="167" t="str">
        <x:f>IF(A26&lt;&gt;"",A26,IF(U26&gt;0,"Sem ID (linha "&amp;ROW()&amp;")",""))</x:f>
      </x:c>
      <x:c r="AG26" s="167" t="str">
        <x:f>IF(AD26="","",IF(OR(NOT(ISNUMBER(AD26)),AD26&lt;=0),"Prazo da ação inválido",""))</x:f>
      </x:c>
      <x:c r="AH26" s="167" t="n">
        <x:f>IF(AG26="",0,1)</x:f>
        <x:v>0</x:v>
      </x:c>
    </x:row>
    <x:row r="27" ht="32" customHeight="1">
      <x:c r="A27" s="27"/>
      <x:c r="B27" s="27"/>
      <x:c r="C27" s="40" t="str">
        <x:f>IF($B27="","",IFERROR(INDEX(Produtos!$B$5:$B$204,MATCH($B27,Produtos!$A$5:$A$204,0)),""))</x:f>
      </x:c>
      <x:c r="D27" s="170"/>
      <x:c r="E27" s="179"/>
      <x:c r="F27" s="179"/>
      <x:c r="G27" s="179"/>
      <x:c r="H27" s="40" t="str">
        <x:f>IF(A27="","",IF(OR(S27&lt;&gt;"",Listas!$B$13&lt;&gt;"OK"),"n.a.",G27-Listas!$B$6))</x:f>
      </x:c>
      <x:c r="I27" s="40"/>
      <x:c r="J27" s="40" t="str">
        <x:f>IF(A27="","",IF(OR(S27&lt;&gt;"",T27&gt;0,Listas!$B$13&lt;&gt;"OK"),"n.a.",SUMIFS(Movimentacoes!$H$5:$H$304,Movimentacoes!$D$5:$D$304,A27,Movimentacoes!$B$5:$B$304,"&lt;="&amp;Listas!$B$6)))</x:f>
      </x:c>
      <x:c r="K27" s="180"/>
      <x:c r="L27" s="181" t="str">
        <x:f>IF(A27="","",IF(OR(U27&gt;0,Listas!$B$13&lt;&gt;"OK"),"n.a.",J27*K27))</x:f>
      </x:c>
      <x:c r="M27" s="27"/>
      <x:c r="N27" s="40" t="str">
        <x:f>IF(A27="","",IF(OR(U27&gt;0,Listas!$B$13&lt;&gt;"OK"),"REVISAR DADOS",IF(J27=0,"SEM SALDO",IF(G27&lt;Listas!$B$6,"VENCIDO",IF(H27&lt;=Listas!$B$7,"CRÍTICO",IF(H27&lt;=Listas!$B$8,"VENCE NA JANELA","OK"))))))</x:f>
      </x:c>
      <x:c r="O27" s="41" t="str">
        <x:f>IF(A27="","",IF(AND(ISNUMBER(V27),V27&gt;0),G27,""))</x:f>
      </x:c>
      <x:c r="P27" s="40" t="str">
        <x:f>IF(A27="","",IF(OR(U27&gt;0,Listas!$B$13&lt;&gt;"OK"),"REVISAR DADOS",IF(J27=0,"ARQUIVAR LOTE",IF(M27="Quarentena","DECIDIR LIBERAÇÃO",IF(M27="Bloqueado","SEGREGAR E INVESTIGAR",IF(M27="Esgotado","REVISAR STATUS COM SALDO",IF(N27="VENCIDO","SEGREGAR E AVALIAR DESTINAÇÃO",IF(OR(N27="CRÍTICO",N27="VENCE NA JANELA"),"PRIORIZAR FEFO","MANTER ROTAÇÃO"))))))))</x:f>
      </x:c>
      <x:c r="Q27" s="27"/>
      <x:c r="R27" s="181" t="str">
        <x:f>IF(A27="","",IF(OR(U27&gt;0,Listas!$B$13&lt;&gt;"OK"),"n.a.",IF(OR(N27="VENCIDO",N27="CRÍTICO",N27="VENCE NA JANELA",M27="Quarentena",M27="Bloqueado"),L27,0)))</x:f>
      </x:c>
      <x:c r="S27" s="163" t="str">
        <x:f>IF(COUNTA(A27:B27,D27:G27,I27,K27,M27,Q27,AB27:AD27)=0,"",IF(OR(A27="",COUNTIFS($A$5:$A$204,A27)&lt;&gt;1),"Lote ausente ou duplicado",IF(OR(B27="",COUNTIFS(Produtos!$A$5:$A$204,B27)&lt;&gt;1),"SKU ausente ou desconhecido",IF(COUNTIFS(Produtos!$A$5:$A$204,B27,Produtos!$R$5:$R$204,1)&gt;0,"Revisar cadastro do produto",IF(OR(NOT(ISNUMBER(E27)),E27&lt;=0,NOT(ISNUMBER(G27)),G27&lt;=0,G27&lt;E27),"Recebimento ou validade inválida",IF(AND(F27&lt;&gt;"",OR(NOT(ISNUMBER(F27)),F27&lt;=0,F27&gt;E27)),"Fabricação inválida ou posterior ao recebimento",IF(OR(NOT(ISNUMBER(K27)),K27&lt;0,NOT(ISNUMBER(I27)),I27&lt;0),"Quantidade recebida ou custo inválido",IF(AND(M27&lt;&gt;"Liberado",M27&lt;&gt;"Quarentena",M27&lt;&gt;"Bloqueado",M27&lt;&gt;"Esgotado"),"Status de lote inválido",""))))))))</x:f>
      </x:c>
      <x:c r="T27" s="163" t="n">
        <x:f>IF(A27="",0,COUNTIFS(Movimentacoes!$D$5:$D$304,A27,Movimentacoes!$P$5:$P$304,1))</x:f>
        <x:v>0</x:v>
      </x:c>
      <x:c r="U27" s="163" t="n">
        <x:f>IF(COUNTA(A27:B27,D27:G27,I27,K27,M27,Q27,AB27:AD27)=0,0,IF(OR(S27&lt;&gt;"",T27&gt;0),1,IF(ISNUMBER(J27),IF(OR(J27&lt;0,AND(J27&gt;0,M27="Esgotado")),1,0),0)))</x:f>
        <x:v>0</x:v>
      </x:c>
      <x:c r="V27" s="163" t="str">
        <x:f>IF(A27="","",IF(OR(U27&gt;0,Listas!$B$13&lt;&gt;"OK"),"n.a.",IF(AND(J27&gt;0,M27="Liberado",G27&gt;=Listas!$B$6),J27,0)))</x:f>
      </x:c>
      <x:c r="W27" s="163" t="str">
        <x:f>IF(A27="","",IF(OR(U27&gt;0,Listas!$B$13&lt;&gt;"OK"),"n.a.",V27*K27))</x:f>
      </x:c>
      <x:c r="X27" s="167" t="n">
        <x:f>IF(COUNTA(A27:B27,D27:G27,I27,K27,M27,Q27,AB27:AD27)=0,0,IF(OR(Listas!$B$19="Todos",B27=Listas!$B$19,COUNTIFS(Produtos!$A$5:$A$204,B27)&lt;&gt;1),1,0))</x:f>
        <x:v>0</x:v>
      </x:c>
      <x:c r="Y27" s="167" t="str">
        <x:f>IF(X27=0,"",IF(Listas!$B$13&lt;&gt;"OK","Revisar parâmetros",IF(U27&gt;0,IF(S27&lt;&gt;"",S27,IF(T27&gt;0,"Revisar movimentos",IF(AND(ISNUMBER(J27),J27&lt;0),"Saldo negativo","Status esgotado com saldo"))),IF(AG27&lt;&gt;"",AG27&amp;". ","")&amp;IF(J27&lt;=0,"",IF(N27="VENCIDO","Validade vencida. ","")&amp;IF(M27="Quarentena","Em quarentena. ","")&amp;IF(M27="Bloqueado","Lote bloqueado. ","")&amp;IF(N27="CRÍTICO","Validade crítica. ","")&amp;IF(N27="VENCE NA JANELA","Vence na janela. ","")))))</x:f>
      </x:c>
      <x:c r="Z27" s="167" t="n">
        <x:f>IF(OR(X27=0,Y27=""),0,IF(OR(Listas!$B$13&lt;&gt;"OK",U27&gt;0,AH27&gt;0),1,IF(N27="VENCIDO",2,IF(OR(M27="Quarentena",M27="Bloqueado"),3,IF(N27="CRÍTICO",4,5)))))</x:f>
        <x:v>0</x:v>
      </x:c>
      <x:c r="AA27" s="167" t="n">
        <x:f>IF(Z27=0,0,COUNTIFS($Z$5:$Z$204,"&gt;0",$Z$5:$Z$204,"&lt;"&amp;Z27,$X$5:$X$204,1)+COUNTIFS($Z$5:Z27,Z27,$X$5:X27,1))</x:f>
        <x:v>0</x:v>
      </x:c>
      <x:c r="AB27" s="168"/>
      <x:c r="AC27" s="168"/>
      <x:c r="AD27" s="169"/>
      <x:c r="AE27" s="167" t="str">
        <x:f>IF(X27=0,"",IF(OR(U27&gt;0,Listas!$B$13&lt;&gt;"OK"),"Dados pendentes",IF(J27&lt;=0,"Sem saldo",IF(N27="VENCIDO","Vencidos",IF(OR(M27="Quarentena",M27="Bloqueado"),"Restritos vigentes",IF(OR(N27="CRÍTICO",N27="VENCE NA JANELA"),"Liberados na janela","Demais liberados"))))))</x:f>
      </x:c>
      <x:c r="AF27" s="167" t="str">
        <x:f>IF(A27&lt;&gt;"",A27,IF(U27&gt;0,"Sem ID (linha "&amp;ROW()&amp;")",""))</x:f>
      </x:c>
      <x:c r="AG27" s="167" t="str">
        <x:f>IF(AD27="","",IF(OR(NOT(ISNUMBER(AD27)),AD27&lt;=0),"Prazo da ação inválido",""))</x:f>
      </x:c>
      <x:c r="AH27" s="167" t="n">
        <x:f>IF(AG27="",0,1)</x:f>
        <x:v>0</x:v>
      </x:c>
    </x:row>
    <x:row r="28" ht="32" customHeight="1">
      <x:c r="A28" s="27"/>
      <x:c r="B28" s="27"/>
      <x:c r="C28" s="40" t="str">
        <x:f>IF($B28="","",IFERROR(INDEX(Produtos!$B$5:$B$204,MATCH($B28,Produtos!$A$5:$A$204,0)),""))</x:f>
      </x:c>
      <x:c r="D28" s="170"/>
      <x:c r="E28" s="179"/>
      <x:c r="F28" s="179"/>
      <x:c r="G28" s="179"/>
      <x:c r="H28" s="40" t="str">
        <x:f>IF(A28="","",IF(OR(S28&lt;&gt;"",Listas!$B$13&lt;&gt;"OK"),"n.a.",G28-Listas!$B$6))</x:f>
      </x:c>
      <x:c r="I28" s="40"/>
      <x:c r="J28" s="40" t="str">
        <x:f>IF(A28="","",IF(OR(S28&lt;&gt;"",T28&gt;0,Listas!$B$13&lt;&gt;"OK"),"n.a.",SUMIFS(Movimentacoes!$H$5:$H$304,Movimentacoes!$D$5:$D$304,A28,Movimentacoes!$B$5:$B$304,"&lt;="&amp;Listas!$B$6)))</x:f>
      </x:c>
      <x:c r="K28" s="180"/>
      <x:c r="L28" s="181" t="str">
        <x:f>IF(A28="","",IF(OR(U28&gt;0,Listas!$B$13&lt;&gt;"OK"),"n.a.",J28*K28))</x:f>
      </x:c>
      <x:c r="M28" s="27"/>
      <x:c r="N28" s="40" t="str">
        <x:f>IF(A28="","",IF(OR(U28&gt;0,Listas!$B$13&lt;&gt;"OK"),"REVISAR DADOS",IF(J28=0,"SEM SALDO",IF(G28&lt;Listas!$B$6,"VENCIDO",IF(H28&lt;=Listas!$B$7,"CRÍTICO",IF(H28&lt;=Listas!$B$8,"VENCE NA JANELA","OK"))))))</x:f>
      </x:c>
      <x:c r="O28" s="41" t="str">
        <x:f>IF(A28="","",IF(AND(ISNUMBER(V28),V28&gt;0),G28,""))</x:f>
      </x:c>
      <x:c r="P28" s="40" t="str">
        <x:f>IF(A28="","",IF(OR(U28&gt;0,Listas!$B$13&lt;&gt;"OK"),"REVISAR DADOS",IF(J28=0,"ARQUIVAR LOTE",IF(M28="Quarentena","DECIDIR LIBERAÇÃO",IF(M28="Bloqueado","SEGREGAR E INVESTIGAR",IF(M28="Esgotado","REVISAR STATUS COM SALDO",IF(N28="VENCIDO","SEGREGAR E AVALIAR DESTINAÇÃO",IF(OR(N28="CRÍTICO",N28="VENCE NA JANELA"),"PRIORIZAR FEFO","MANTER ROTAÇÃO"))))))))</x:f>
      </x:c>
      <x:c r="Q28" s="27"/>
      <x:c r="R28" s="181" t="str">
        <x:f>IF(A28="","",IF(OR(U28&gt;0,Listas!$B$13&lt;&gt;"OK"),"n.a.",IF(OR(N28="VENCIDO",N28="CRÍTICO",N28="VENCE NA JANELA",M28="Quarentena",M28="Bloqueado"),L28,0)))</x:f>
      </x:c>
      <x:c r="S28" s="163" t="str">
        <x:f>IF(COUNTA(A28:B28,D28:G28,I28,K28,M28,Q28,AB28:AD28)=0,"",IF(OR(A28="",COUNTIFS($A$5:$A$204,A28)&lt;&gt;1),"Lote ausente ou duplicado",IF(OR(B28="",COUNTIFS(Produtos!$A$5:$A$204,B28)&lt;&gt;1),"SKU ausente ou desconhecido",IF(COUNTIFS(Produtos!$A$5:$A$204,B28,Produtos!$R$5:$R$204,1)&gt;0,"Revisar cadastro do produto",IF(OR(NOT(ISNUMBER(E28)),E28&lt;=0,NOT(ISNUMBER(G28)),G28&lt;=0,G28&lt;E28),"Recebimento ou validade inválida",IF(AND(F28&lt;&gt;"",OR(NOT(ISNUMBER(F28)),F28&lt;=0,F28&gt;E28)),"Fabricação inválida ou posterior ao recebimento",IF(OR(NOT(ISNUMBER(K28)),K28&lt;0,NOT(ISNUMBER(I28)),I28&lt;0),"Quantidade recebida ou custo inválido",IF(AND(M28&lt;&gt;"Liberado",M28&lt;&gt;"Quarentena",M28&lt;&gt;"Bloqueado",M28&lt;&gt;"Esgotado"),"Status de lote inválido",""))))))))</x:f>
      </x:c>
      <x:c r="T28" s="163" t="n">
        <x:f>IF(A28="",0,COUNTIFS(Movimentacoes!$D$5:$D$304,A28,Movimentacoes!$P$5:$P$304,1))</x:f>
        <x:v>0</x:v>
      </x:c>
      <x:c r="U28" s="163" t="n">
        <x:f>IF(COUNTA(A28:B28,D28:G28,I28,K28,M28,Q28,AB28:AD28)=0,0,IF(OR(S28&lt;&gt;"",T28&gt;0),1,IF(ISNUMBER(J28),IF(OR(J28&lt;0,AND(J28&gt;0,M28="Esgotado")),1,0),0)))</x:f>
        <x:v>0</x:v>
      </x:c>
      <x:c r="V28" s="163" t="str">
        <x:f>IF(A28="","",IF(OR(U28&gt;0,Listas!$B$13&lt;&gt;"OK"),"n.a.",IF(AND(J28&gt;0,M28="Liberado",G28&gt;=Listas!$B$6),J28,0)))</x:f>
      </x:c>
      <x:c r="W28" s="163" t="str">
        <x:f>IF(A28="","",IF(OR(U28&gt;0,Listas!$B$13&lt;&gt;"OK"),"n.a.",V28*K28))</x:f>
      </x:c>
      <x:c r="X28" s="167" t="n">
        <x:f>IF(COUNTA(A28:B28,D28:G28,I28,K28,M28,Q28,AB28:AD28)=0,0,IF(OR(Listas!$B$19="Todos",B28=Listas!$B$19,COUNTIFS(Produtos!$A$5:$A$204,B28)&lt;&gt;1),1,0))</x:f>
        <x:v>0</x:v>
      </x:c>
      <x:c r="Y28" s="167" t="str">
        <x:f>IF(X28=0,"",IF(Listas!$B$13&lt;&gt;"OK","Revisar parâmetros",IF(U28&gt;0,IF(S28&lt;&gt;"",S28,IF(T28&gt;0,"Revisar movimentos",IF(AND(ISNUMBER(J28),J28&lt;0),"Saldo negativo","Status esgotado com saldo"))),IF(AG28&lt;&gt;"",AG28&amp;". ","")&amp;IF(J28&lt;=0,"",IF(N28="VENCIDO","Validade vencida. ","")&amp;IF(M28="Quarentena","Em quarentena. ","")&amp;IF(M28="Bloqueado","Lote bloqueado. ","")&amp;IF(N28="CRÍTICO","Validade crítica. ","")&amp;IF(N28="VENCE NA JANELA","Vence na janela. ","")))))</x:f>
      </x:c>
      <x:c r="Z28" s="167" t="n">
        <x:f>IF(OR(X28=0,Y28=""),0,IF(OR(Listas!$B$13&lt;&gt;"OK",U28&gt;0,AH28&gt;0),1,IF(N28="VENCIDO",2,IF(OR(M28="Quarentena",M28="Bloqueado"),3,IF(N28="CRÍTICO",4,5)))))</x:f>
        <x:v>0</x:v>
      </x:c>
      <x:c r="AA28" s="167" t="n">
        <x:f>IF(Z28=0,0,COUNTIFS($Z$5:$Z$204,"&gt;0",$Z$5:$Z$204,"&lt;"&amp;Z28,$X$5:$X$204,1)+COUNTIFS($Z$5:Z28,Z28,$X$5:X28,1))</x:f>
        <x:v>0</x:v>
      </x:c>
      <x:c r="AB28" s="168"/>
      <x:c r="AC28" s="168"/>
      <x:c r="AD28" s="169"/>
      <x:c r="AE28" s="167" t="str">
        <x:f>IF(X28=0,"",IF(OR(U28&gt;0,Listas!$B$13&lt;&gt;"OK"),"Dados pendentes",IF(J28&lt;=0,"Sem saldo",IF(N28="VENCIDO","Vencidos",IF(OR(M28="Quarentena",M28="Bloqueado"),"Restritos vigentes",IF(OR(N28="CRÍTICO",N28="VENCE NA JANELA"),"Liberados na janela","Demais liberados"))))))</x:f>
      </x:c>
      <x:c r="AF28" s="167" t="str">
        <x:f>IF(A28&lt;&gt;"",A28,IF(U28&gt;0,"Sem ID (linha "&amp;ROW()&amp;")",""))</x:f>
      </x:c>
      <x:c r="AG28" s="167" t="str">
        <x:f>IF(AD28="","",IF(OR(NOT(ISNUMBER(AD28)),AD28&lt;=0),"Prazo da ação inválido",""))</x:f>
      </x:c>
      <x:c r="AH28" s="167" t="n">
        <x:f>IF(AG28="",0,1)</x:f>
        <x:v>0</x:v>
      </x:c>
    </x:row>
    <x:row r="29" ht="32" customHeight="1">
      <x:c r="A29" s="27"/>
      <x:c r="B29" s="27"/>
      <x:c r="C29" s="40" t="str">
        <x:f>IF($B29="","",IFERROR(INDEX(Produtos!$B$5:$B$204,MATCH($B29,Produtos!$A$5:$A$204,0)),""))</x:f>
      </x:c>
      <x:c r="D29" s="170"/>
      <x:c r="E29" s="179"/>
      <x:c r="F29" s="179"/>
      <x:c r="G29" s="179"/>
      <x:c r="H29" s="40" t="str">
        <x:f>IF(A29="","",IF(OR(S29&lt;&gt;"",Listas!$B$13&lt;&gt;"OK"),"n.a.",G29-Listas!$B$6))</x:f>
      </x:c>
      <x:c r="I29" s="40"/>
      <x:c r="J29" s="40" t="str">
        <x:f>IF(A29="","",IF(OR(S29&lt;&gt;"",T29&gt;0,Listas!$B$13&lt;&gt;"OK"),"n.a.",SUMIFS(Movimentacoes!$H$5:$H$304,Movimentacoes!$D$5:$D$304,A29,Movimentacoes!$B$5:$B$304,"&lt;="&amp;Listas!$B$6)))</x:f>
      </x:c>
      <x:c r="K29" s="180"/>
      <x:c r="L29" s="181" t="str">
        <x:f>IF(A29="","",IF(OR(U29&gt;0,Listas!$B$13&lt;&gt;"OK"),"n.a.",J29*K29))</x:f>
      </x:c>
      <x:c r="M29" s="27"/>
      <x:c r="N29" s="40" t="str">
        <x:f>IF(A29="","",IF(OR(U29&gt;0,Listas!$B$13&lt;&gt;"OK"),"REVISAR DADOS",IF(J29=0,"SEM SALDO",IF(G29&lt;Listas!$B$6,"VENCIDO",IF(H29&lt;=Listas!$B$7,"CRÍTICO",IF(H29&lt;=Listas!$B$8,"VENCE NA JANELA","OK"))))))</x:f>
      </x:c>
      <x:c r="O29" s="41" t="str">
        <x:f>IF(A29="","",IF(AND(ISNUMBER(V29),V29&gt;0),G29,""))</x:f>
      </x:c>
      <x:c r="P29" s="40" t="str">
        <x:f>IF(A29="","",IF(OR(U29&gt;0,Listas!$B$13&lt;&gt;"OK"),"REVISAR DADOS",IF(J29=0,"ARQUIVAR LOTE",IF(M29="Quarentena","DECIDIR LIBERAÇÃO",IF(M29="Bloqueado","SEGREGAR E INVESTIGAR",IF(M29="Esgotado","REVISAR STATUS COM SALDO",IF(N29="VENCIDO","SEGREGAR E AVALIAR DESTINAÇÃO",IF(OR(N29="CRÍTICO",N29="VENCE NA JANELA"),"PRIORIZAR FEFO","MANTER ROTAÇÃO"))))))))</x:f>
      </x:c>
      <x:c r="Q29" s="27"/>
      <x:c r="R29" s="181" t="str">
        <x:f>IF(A29="","",IF(OR(U29&gt;0,Listas!$B$13&lt;&gt;"OK"),"n.a.",IF(OR(N29="VENCIDO",N29="CRÍTICO",N29="VENCE NA JANELA",M29="Quarentena",M29="Bloqueado"),L29,0)))</x:f>
      </x:c>
      <x:c r="S29" s="163" t="str">
        <x:f>IF(COUNTA(A29:B29,D29:G29,I29,K29,M29,Q29,AB29:AD29)=0,"",IF(OR(A29="",COUNTIFS($A$5:$A$204,A29)&lt;&gt;1),"Lote ausente ou duplicado",IF(OR(B29="",COUNTIFS(Produtos!$A$5:$A$204,B29)&lt;&gt;1),"SKU ausente ou desconhecido",IF(COUNTIFS(Produtos!$A$5:$A$204,B29,Produtos!$R$5:$R$204,1)&gt;0,"Revisar cadastro do produto",IF(OR(NOT(ISNUMBER(E29)),E29&lt;=0,NOT(ISNUMBER(G29)),G29&lt;=0,G29&lt;E29),"Recebimento ou validade inválida",IF(AND(F29&lt;&gt;"",OR(NOT(ISNUMBER(F29)),F29&lt;=0,F29&gt;E29)),"Fabricação inválida ou posterior ao recebimento",IF(OR(NOT(ISNUMBER(K29)),K29&lt;0,NOT(ISNUMBER(I29)),I29&lt;0),"Quantidade recebida ou custo inválido",IF(AND(M29&lt;&gt;"Liberado",M29&lt;&gt;"Quarentena",M29&lt;&gt;"Bloqueado",M29&lt;&gt;"Esgotado"),"Status de lote inválido",""))))))))</x:f>
      </x:c>
      <x:c r="T29" s="163" t="n">
        <x:f>IF(A29="",0,COUNTIFS(Movimentacoes!$D$5:$D$304,A29,Movimentacoes!$P$5:$P$304,1))</x:f>
        <x:v>0</x:v>
      </x:c>
      <x:c r="U29" s="163" t="n">
        <x:f>IF(COUNTA(A29:B29,D29:G29,I29,K29,M29,Q29,AB29:AD29)=0,0,IF(OR(S29&lt;&gt;"",T29&gt;0),1,IF(ISNUMBER(J29),IF(OR(J29&lt;0,AND(J29&gt;0,M29="Esgotado")),1,0),0)))</x:f>
        <x:v>0</x:v>
      </x:c>
      <x:c r="V29" s="163" t="str">
        <x:f>IF(A29="","",IF(OR(U29&gt;0,Listas!$B$13&lt;&gt;"OK"),"n.a.",IF(AND(J29&gt;0,M29="Liberado",G29&gt;=Listas!$B$6),J29,0)))</x:f>
      </x:c>
      <x:c r="W29" s="163" t="str">
        <x:f>IF(A29="","",IF(OR(U29&gt;0,Listas!$B$13&lt;&gt;"OK"),"n.a.",V29*K29))</x:f>
      </x:c>
      <x:c r="X29" s="167" t="n">
        <x:f>IF(COUNTA(A29:B29,D29:G29,I29,K29,M29,Q29,AB29:AD29)=0,0,IF(OR(Listas!$B$19="Todos",B29=Listas!$B$19,COUNTIFS(Produtos!$A$5:$A$204,B29)&lt;&gt;1),1,0))</x:f>
        <x:v>0</x:v>
      </x:c>
      <x:c r="Y29" s="167" t="str">
        <x:f>IF(X29=0,"",IF(Listas!$B$13&lt;&gt;"OK","Revisar parâmetros",IF(U29&gt;0,IF(S29&lt;&gt;"",S29,IF(T29&gt;0,"Revisar movimentos",IF(AND(ISNUMBER(J29),J29&lt;0),"Saldo negativo","Status esgotado com saldo"))),IF(AG29&lt;&gt;"",AG29&amp;". ","")&amp;IF(J29&lt;=0,"",IF(N29="VENCIDO","Validade vencida. ","")&amp;IF(M29="Quarentena","Em quarentena. ","")&amp;IF(M29="Bloqueado","Lote bloqueado. ","")&amp;IF(N29="CRÍTICO","Validade crítica. ","")&amp;IF(N29="VENCE NA JANELA","Vence na janela. ","")))))</x:f>
      </x:c>
      <x:c r="Z29" s="167" t="n">
        <x:f>IF(OR(X29=0,Y29=""),0,IF(OR(Listas!$B$13&lt;&gt;"OK",U29&gt;0,AH29&gt;0),1,IF(N29="VENCIDO",2,IF(OR(M29="Quarentena",M29="Bloqueado"),3,IF(N29="CRÍTICO",4,5)))))</x:f>
        <x:v>0</x:v>
      </x:c>
      <x:c r="AA29" s="167" t="n">
        <x:f>IF(Z29=0,0,COUNTIFS($Z$5:$Z$204,"&gt;0",$Z$5:$Z$204,"&lt;"&amp;Z29,$X$5:$X$204,1)+COUNTIFS($Z$5:Z29,Z29,$X$5:X29,1))</x:f>
        <x:v>0</x:v>
      </x:c>
      <x:c r="AB29" s="168"/>
      <x:c r="AC29" s="168"/>
      <x:c r="AD29" s="169"/>
      <x:c r="AE29" s="167" t="str">
        <x:f>IF(X29=0,"",IF(OR(U29&gt;0,Listas!$B$13&lt;&gt;"OK"),"Dados pendentes",IF(J29&lt;=0,"Sem saldo",IF(N29="VENCIDO","Vencidos",IF(OR(M29="Quarentena",M29="Bloqueado"),"Restritos vigentes",IF(OR(N29="CRÍTICO",N29="VENCE NA JANELA"),"Liberados na janela","Demais liberados"))))))</x:f>
      </x:c>
      <x:c r="AF29" s="167" t="str">
        <x:f>IF(A29&lt;&gt;"",A29,IF(U29&gt;0,"Sem ID (linha "&amp;ROW()&amp;")",""))</x:f>
      </x:c>
      <x:c r="AG29" s="167" t="str">
        <x:f>IF(AD29="","",IF(OR(NOT(ISNUMBER(AD29)),AD29&lt;=0),"Prazo da ação inválido",""))</x:f>
      </x:c>
      <x:c r="AH29" s="167" t="n">
        <x:f>IF(AG29="",0,1)</x:f>
        <x:v>0</x:v>
      </x:c>
    </x:row>
    <x:row r="30" ht="32" customHeight="1">
      <x:c r="A30" s="27"/>
      <x:c r="B30" s="27"/>
      <x:c r="C30" s="40" t="str">
        <x:f>IF($B30="","",IFERROR(INDEX(Produtos!$B$5:$B$204,MATCH($B30,Produtos!$A$5:$A$204,0)),""))</x:f>
      </x:c>
      <x:c r="D30" s="170"/>
      <x:c r="E30" s="179"/>
      <x:c r="F30" s="179"/>
      <x:c r="G30" s="179"/>
      <x:c r="H30" s="40" t="str">
        <x:f>IF(A30="","",IF(OR(S30&lt;&gt;"",Listas!$B$13&lt;&gt;"OK"),"n.a.",G30-Listas!$B$6))</x:f>
      </x:c>
      <x:c r="I30" s="40"/>
      <x:c r="J30" s="40" t="str">
        <x:f>IF(A30="","",IF(OR(S30&lt;&gt;"",T30&gt;0,Listas!$B$13&lt;&gt;"OK"),"n.a.",SUMIFS(Movimentacoes!$H$5:$H$304,Movimentacoes!$D$5:$D$304,A30,Movimentacoes!$B$5:$B$304,"&lt;="&amp;Listas!$B$6)))</x:f>
      </x:c>
      <x:c r="K30" s="180"/>
      <x:c r="L30" s="181" t="str">
        <x:f>IF(A30="","",IF(OR(U30&gt;0,Listas!$B$13&lt;&gt;"OK"),"n.a.",J30*K30))</x:f>
      </x:c>
      <x:c r="M30" s="27"/>
      <x:c r="N30" s="40" t="str">
        <x:f>IF(A30="","",IF(OR(U30&gt;0,Listas!$B$13&lt;&gt;"OK"),"REVISAR DADOS",IF(J30=0,"SEM SALDO",IF(G30&lt;Listas!$B$6,"VENCIDO",IF(H30&lt;=Listas!$B$7,"CRÍTICO",IF(H30&lt;=Listas!$B$8,"VENCE NA JANELA","OK"))))))</x:f>
      </x:c>
      <x:c r="O30" s="41" t="str">
        <x:f>IF(A30="","",IF(AND(ISNUMBER(V30),V30&gt;0),G30,""))</x:f>
      </x:c>
      <x:c r="P30" s="40" t="str">
        <x:f>IF(A30="","",IF(OR(U30&gt;0,Listas!$B$13&lt;&gt;"OK"),"REVISAR DADOS",IF(J30=0,"ARQUIVAR LOTE",IF(M30="Quarentena","DECIDIR LIBERAÇÃO",IF(M30="Bloqueado","SEGREGAR E INVESTIGAR",IF(M30="Esgotado","REVISAR STATUS COM SALDO",IF(N30="VENCIDO","SEGREGAR E AVALIAR DESTINAÇÃO",IF(OR(N30="CRÍTICO",N30="VENCE NA JANELA"),"PRIORIZAR FEFO","MANTER ROTAÇÃO"))))))))</x:f>
      </x:c>
      <x:c r="Q30" s="27"/>
      <x:c r="R30" s="181" t="str">
        <x:f>IF(A30="","",IF(OR(U30&gt;0,Listas!$B$13&lt;&gt;"OK"),"n.a.",IF(OR(N30="VENCIDO",N30="CRÍTICO",N30="VENCE NA JANELA",M30="Quarentena",M30="Bloqueado"),L30,0)))</x:f>
      </x:c>
      <x:c r="S30" s="163" t="str">
        <x:f>IF(COUNTA(A30:B30,D30:G30,I30,K30,M30,Q30,AB30:AD30)=0,"",IF(OR(A30="",COUNTIFS($A$5:$A$204,A30)&lt;&gt;1),"Lote ausente ou duplicado",IF(OR(B30="",COUNTIFS(Produtos!$A$5:$A$204,B30)&lt;&gt;1),"SKU ausente ou desconhecido",IF(COUNTIFS(Produtos!$A$5:$A$204,B30,Produtos!$R$5:$R$204,1)&gt;0,"Revisar cadastro do produto",IF(OR(NOT(ISNUMBER(E30)),E30&lt;=0,NOT(ISNUMBER(G30)),G30&lt;=0,G30&lt;E30),"Recebimento ou validade inválida",IF(AND(F30&lt;&gt;"",OR(NOT(ISNUMBER(F30)),F30&lt;=0,F30&gt;E30)),"Fabricação inválida ou posterior ao recebimento",IF(OR(NOT(ISNUMBER(K30)),K30&lt;0,NOT(ISNUMBER(I30)),I30&lt;0),"Quantidade recebida ou custo inválido",IF(AND(M30&lt;&gt;"Liberado",M30&lt;&gt;"Quarentena",M30&lt;&gt;"Bloqueado",M30&lt;&gt;"Esgotado"),"Status de lote inválido",""))))))))</x:f>
      </x:c>
      <x:c r="T30" s="163" t="n">
        <x:f>IF(A30="",0,COUNTIFS(Movimentacoes!$D$5:$D$304,A30,Movimentacoes!$P$5:$P$304,1))</x:f>
        <x:v>0</x:v>
      </x:c>
      <x:c r="U30" s="163" t="n">
        <x:f>IF(COUNTA(A30:B30,D30:G30,I30,K30,M30,Q30,AB30:AD30)=0,0,IF(OR(S30&lt;&gt;"",T30&gt;0),1,IF(ISNUMBER(J30),IF(OR(J30&lt;0,AND(J30&gt;0,M30="Esgotado")),1,0),0)))</x:f>
        <x:v>0</x:v>
      </x:c>
      <x:c r="V30" s="163" t="str">
        <x:f>IF(A30="","",IF(OR(U30&gt;0,Listas!$B$13&lt;&gt;"OK"),"n.a.",IF(AND(J30&gt;0,M30="Liberado",G30&gt;=Listas!$B$6),J30,0)))</x:f>
      </x:c>
      <x:c r="W30" s="163" t="str">
        <x:f>IF(A30="","",IF(OR(U30&gt;0,Listas!$B$13&lt;&gt;"OK"),"n.a.",V30*K30))</x:f>
      </x:c>
      <x:c r="X30" s="167" t="n">
        <x:f>IF(COUNTA(A30:B30,D30:G30,I30,K30,M30,Q30,AB30:AD30)=0,0,IF(OR(Listas!$B$19="Todos",B30=Listas!$B$19,COUNTIFS(Produtos!$A$5:$A$204,B30)&lt;&gt;1),1,0))</x:f>
        <x:v>0</x:v>
      </x:c>
      <x:c r="Y30" s="167" t="str">
        <x:f>IF(X30=0,"",IF(Listas!$B$13&lt;&gt;"OK","Revisar parâmetros",IF(U30&gt;0,IF(S30&lt;&gt;"",S30,IF(T30&gt;0,"Revisar movimentos",IF(AND(ISNUMBER(J30),J30&lt;0),"Saldo negativo","Status esgotado com saldo"))),IF(AG30&lt;&gt;"",AG30&amp;". ","")&amp;IF(J30&lt;=0,"",IF(N30="VENCIDO","Validade vencida. ","")&amp;IF(M30="Quarentena","Em quarentena. ","")&amp;IF(M30="Bloqueado","Lote bloqueado. ","")&amp;IF(N30="CRÍTICO","Validade crítica. ","")&amp;IF(N30="VENCE NA JANELA","Vence na janela. ","")))))</x:f>
      </x:c>
      <x:c r="Z30" s="167" t="n">
        <x:f>IF(OR(X30=0,Y30=""),0,IF(OR(Listas!$B$13&lt;&gt;"OK",U30&gt;0,AH30&gt;0),1,IF(N30="VENCIDO",2,IF(OR(M30="Quarentena",M30="Bloqueado"),3,IF(N30="CRÍTICO",4,5)))))</x:f>
        <x:v>0</x:v>
      </x:c>
      <x:c r="AA30" s="167" t="n">
        <x:f>IF(Z30=0,0,COUNTIFS($Z$5:$Z$204,"&gt;0",$Z$5:$Z$204,"&lt;"&amp;Z30,$X$5:$X$204,1)+COUNTIFS($Z$5:Z30,Z30,$X$5:X30,1))</x:f>
        <x:v>0</x:v>
      </x:c>
      <x:c r="AB30" s="168"/>
      <x:c r="AC30" s="168"/>
      <x:c r="AD30" s="169"/>
      <x:c r="AE30" s="167" t="str">
        <x:f>IF(X30=0,"",IF(OR(U30&gt;0,Listas!$B$13&lt;&gt;"OK"),"Dados pendentes",IF(J30&lt;=0,"Sem saldo",IF(N30="VENCIDO","Vencidos",IF(OR(M30="Quarentena",M30="Bloqueado"),"Restritos vigentes",IF(OR(N30="CRÍTICO",N30="VENCE NA JANELA"),"Liberados na janela","Demais liberados"))))))</x:f>
      </x:c>
      <x:c r="AF30" s="167" t="str">
        <x:f>IF(A30&lt;&gt;"",A30,IF(U30&gt;0,"Sem ID (linha "&amp;ROW()&amp;")",""))</x:f>
      </x:c>
      <x:c r="AG30" s="167" t="str">
        <x:f>IF(AD30="","",IF(OR(NOT(ISNUMBER(AD30)),AD30&lt;=0),"Prazo da ação inválido",""))</x:f>
      </x:c>
      <x:c r="AH30" s="167" t="n">
        <x:f>IF(AG30="",0,1)</x:f>
        <x:v>0</x:v>
      </x:c>
    </x:row>
    <x:row r="31" ht="32" customHeight="1">
      <x:c r="A31" s="27"/>
      <x:c r="B31" s="27"/>
      <x:c r="C31" s="40" t="str">
        <x:f>IF($B31="","",IFERROR(INDEX(Produtos!$B$5:$B$204,MATCH($B31,Produtos!$A$5:$A$204,0)),""))</x:f>
      </x:c>
      <x:c r="D31" s="170"/>
      <x:c r="E31" s="179"/>
      <x:c r="F31" s="179"/>
      <x:c r="G31" s="179"/>
      <x:c r="H31" s="40" t="str">
        <x:f>IF(A31="","",IF(OR(S31&lt;&gt;"",Listas!$B$13&lt;&gt;"OK"),"n.a.",G31-Listas!$B$6))</x:f>
      </x:c>
      <x:c r="I31" s="40"/>
      <x:c r="J31" s="40" t="str">
        <x:f>IF(A31="","",IF(OR(S31&lt;&gt;"",T31&gt;0,Listas!$B$13&lt;&gt;"OK"),"n.a.",SUMIFS(Movimentacoes!$H$5:$H$304,Movimentacoes!$D$5:$D$304,A31,Movimentacoes!$B$5:$B$304,"&lt;="&amp;Listas!$B$6)))</x:f>
      </x:c>
      <x:c r="K31" s="180"/>
      <x:c r="L31" s="181" t="str">
        <x:f>IF(A31="","",IF(OR(U31&gt;0,Listas!$B$13&lt;&gt;"OK"),"n.a.",J31*K31))</x:f>
      </x:c>
      <x:c r="M31" s="27"/>
      <x:c r="N31" s="40" t="str">
        <x:f>IF(A31="","",IF(OR(U31&gt;0,Listas!$B$13&lt;&gt;"OK"),"REVISAR DADOS",IF(J31=0,"SEM SALDO",IF(G31&lt;Listas!$B$6,"VENCIDO",IF(H31&lt;=Listas!$B$7,"CRÍTICO",IF(H31&lt;=Listas!$B$8,"VENCE NA JANELA","OK"))))))</x:f>
      </x:c>
      <x:c r="O31" s="41" t="str">
        <x:f>IF(A31="","",IF(AND(ISNUMBER(V31),V31&gt;0),G31,""))</x:f>
      </x:c>
      <x:c r="P31" s="40" t="str">
        <x:f>IF(A31="","",IF(OR(U31&gt;0,Listas!$B$13&lt;&gt;"OK"),"REVISAR DADOS",IF(J31=0,"ARQUIVAR LOTE",IF(M31="Quarentena","DECIDIR LIBERAÇÃO",IF(M31="Bloqueado","SEGREGAR E INVESTIGAR",IF(M31="Esgotado","REVISAR STATUS COM SALDO",IF(N31="VENCIDO","SEGREGAR E AVALIAR DESTINAÇÃO",IF(OR(N31="CRÍTICO",N31="VENCE NA JANELA"),"PRIORIZAR FEFO","MANTER ROTAÇÃO"))))))))</x:f>
      </x:c>
      <x:c r="Q31" s="27"/>
      <x:c r="R31" s="181" t="str">
        <x:f>IF(A31="","",IF(OR(U31&gt;0,Listas!$B$13&lt;&gt;"OK"),"n.a.",IF(OR(N31="VENCIDO",N31="CRÍTICO",N31="VENCE NA JANELA",M31="Quarentena",M31="Bloqueado"),L31,0)))</x:f>
      </x:c>
      <x:c r="S31" s="163" t="str">
        <x:f>IF(COUNTA(A31:B31,D31:G31,I31,K31,M31,Q31,AB31:AD31)=0,"",IF(OR(A31="",COUNTIFS($A$5:$A$204,A31)&lt;&gt;1),"Lote ausente ou duplicado",IF(OR(B31="",COUNTIFS(Produtos!$A$5:$A$204,B31)&lt;&gt;1),"SKU ausente ou desconhecido",IF(COUNTIFS(Produtos!$A$5:$A$204,B31,Produtos!$R$5:$R$204,1)&gt;0,"Revisar cadastro do produto",IF(OR(NOT(ISNUMBER(E31)),E31&lt;=0,NOT(ISNUMBER(G31)),G31&lt;=0,G31&lt;E31),"Recebimento ou validade inválida",IF(AND(F31&lt;&gt;"",OR(NOT(ISNUMBER(F31)),F31&lt;=0,F31&gt;E31)),"Fabricação inválida ou posterior ao recebimento",IF(OR(NOT(ISNUMBER(K31)),K31&lt;0,NOT(ISNUMBER(I31)),I31&lt;0),"Quantidade recebida ou custo inválido",IF(AND(M31&lt;&gt;"Liberado",M31&lt;&gt;"Quarentena",M31&lt;&gt;"Bloqueado",M31&lt;&gt;"Esgotado"),"Status de lote inválido",""))))))))</x:f>
      </x:c>
      <x:c r="T31" s="163" t="n">
        <x:f>IF(A31="",0,COUNTIFS(Movimentacoes!$D$5:$D$304,A31,Movimentacoes!$P$5:$P$304,1))</x:f>
        <x:v>0</x:v>
      </x:c>
      <x:c r="U31" s="163" t="n">
        <x:f>IF(COUNTA(A31:B31,D31:G31,I31,K31,M31,Q31,AB31:AD31)=0,0,IF(OR(S31&lt;&gt;"",T31&gt;0),1,IF(ISNUMBER(J31),IF(OR(J31&lt;0,AND(J31&gt;0,M31="Esgotado")),1,0),0)))</x:f>
        <x:v>0</x:v>
      </x:c>
      <x:c r="V31" s="163" t="str">
        <x:f>IF(A31="","",IF(OR(U31&gt;0,Listas!$B$13&lt;&gt;"OK"),"n.a.",IF(AND(J31&gt;0,M31="Liberado",G31&gt;=Listas!$B$6),J31,0)))</x:f>
      </x:c>
      <x:c r="W31" s="163" t="str">
        <x:f>IF(A31="","",IF(OR(U31&gt;0,Listas!$B$13&lt;&gt;"OK"),"n.a.",V31*K31))</x:f>
      </x:c>
      <x:c r="X31" s="167" t="n">
        <x:f>IF(COUNTA(A31:B31,D31:G31,I31,K31,M31,Q31,AB31:AD31)=0,0,IF(OR(Listas!$B$19="Todos",B31=Listas!$B$19,COUNTIFS(Produtos!$A$5:$A$204,B31)&lt;&gt;1),1,0))</x:f>
        <x:v>0</x:v>
      </x:c>
      <x:c r="Y31" s="167" t="str">
        <x:f>IF(X31=0,"",IF(Listas!$B$13&lt;&gt;"OK","Revisar parâmetros",IF(U31&gt;0,IF(S31&lt;&gt;"",S31,IF(T31&gt;0,"Revisar movimentos",IF(AND(ISNUMBER(J31),J31&lt;0),"Saldo negativo","Status esgotado com saldo"))),IF(AG31&lt;&gt;"",AG31&amp;". ","")&amp;IF(J31&lt;=0,"",IF(N31="VENCIDO","Validade vencida. ","")&amp;IF(M31="Quarentena","Em quarentena. ","")&amp;IF(M31="Bloqueado","Lote bloqueado. ","")&amp;IF(N31="CRÍTICO","Validade crítica. ","")&amp;IF(N31="VENCE NA JANELA","Vence na janela. ","")))))</x:f>
      </x:c>
      <x:c r="Z31" s="167" t="n">
        <x:f>IF(OR(X31=0,Y31=""),0,IF(OR(Listas!$B$13&lt;&gt;"OK",U31&gt;0,AH31&gt;0),1,IF(N31="VENCIDO",2,IF(OR(M31="Quarentena",M31="Bloqueado"),3,IF(N31="CRÍTICO",4,5)))))</x:f>
        <x:v>0</x:v>
      </x:c>
      <x:c r="AA31" s="167" t="n">
        <x:f>IF(Z31=0,0,COUNTIFS($Z$5:$Z$204,"&gt;0",$Z$5:$Z$204,"&lt;"&amp;Z31,$X$5:$X$204,1)+COUNTIFS($Z$5:Z31,Z31,$X$5:X31,1))</x:f>
        <x:v>0</x:v>
      </x:c>
      <x:c r="AB31" s="168"/>
      <x:c r="AC31" s="168"/>
      <x:c r="AD31" s="169"/>
      <x:c r="AE31" s="167" t="str">
        <x:f>IF(X31=0,"",IF(OR(U31&gt;0,Listas!$B$13&lt;&gt;"OK"),"Dados pendentes",IF(J31&lt;=0,"Sem saldo",IF(N31="VENCIDO","Vencidos",IF(OR(M31="Quarentena",M31="Bloqueado"),"Restritos vigentes",IF(OR(N31="CRÍTICO",N31="VENCE NA JANELA"),"Liberados na janela","Demais liberados"))))))</x:f>
      </x:c>
      <x:c r="AF31" s="167" t="str">
        <x:f>IF(A31&lt;&gt;"",A31,IF(U31&gt;0,"Sem ID (linha "&amp;ROW()&amp;")",""))</x:f>
      </x:c>
      <x:c r="AG31" s="167" t="str">
        <x:f>IF(AD31="","",IF(OR(NOT(ISNUMBER(AD31)),AD31&lt;=0),"Prazo da ação inválido",""))</x:f>
      </x:c>
      <x:c r="AH31" s="167" t="n">
        <x:f>IF(AG31="",0,1)</x:f>
        <x:v>0</x:v>
      </x:c>
    </x:row>
    <x:row r="32" ht="32" customHeight="1">
      <x:c r="A32" s="27"/>
      <x:c r="B32" s="27"/>
      <x:c r="C32" s="40" t="str">
        <x:f>IF($B32="","",IFERROR(INDEX(Produtos!$B$5:$B$204,MATCH($B32,Produtos!$A$5:$A$204,0)),""))</x:f>
      </x:c>
      <x:c r="D32" s="170"/>
      <x:c r="E32" s="179"/>
      <x:c r="F32" s="179"/>
      <x:c r="G32" s="179"/>
      <x:c r="H32" s="40" t="str">
        <x:f>IF(A32="","",IF(OR(S32&lt;&gt;"",Listas!$B$13&lt;&gt;"OK"),"n.a.",G32-Listas!$B$6))</x:f>
      </x:c>
      <x:c r="I32" s="40"/>
      <x:c r="J32" s="40" t="str">
        <x:f>IF(A32="","",IF(OR(S32&lt;&gt;"",T32&gt;0,Listas!$B$13&lt;&gt;"OK"),"n.a.",SUMIFS(Movimentacoes!$H$5:$H$304,Movimentacoes!$D$5:$D$304,A32,Movimentacoes!$B$5:$B$304,"&lt;="&amp;Listas!$B$6)))</x:f>
      </x:c>
      <x:c r="K32" s="180"/>
      <x:c r="L32" s="181" t="str">
        <x:f>IF(A32="","",IF(OR(U32&gt;0,Listas!$B$13&lt;&gt;"OK"),"n.a.",J32*K32))</x:f>
      </x:c>
      <x:c r="M32" s="27"/>
      <x:c r="N32" s="40" t="str">
        <x:f>IF(A32="","",IF(OR(U32&gt;0,Listas!$B$13&lt;&gt;"OK"),"REVISAR DADOS",IF(J32=0,"SEM SALDO",IF(G32&lt;Listas!$B$6,"VENCIDO",IF(H32&lt;=Listas!$B$7,"CRÍTICO",IF(H32&lt;=Listas!$B$8,"VENCE NA JANELA","OK"))))))</x:f>
      </x:c>
      <x:c r="O32" s="41" t="str">
        <x:f>IF(A32="","",IF(AND(ISNUMBER(V32),V32&gt;0),G32,""))</x:f>
      </x:c>
      <x:c r="P32" s="40" t="str">
        <x:f>IF(A32="","",IF(OR(U32&gt;0,Listas!$B$13&lt;&gt;"OK"),"REVISAR DADOS",IF(J32=0,"ARQUIVAR LOTE",IF(M32="Quarentena","DECIDIR LIBERAÇÃO",IF(M32="Bloqueado","SEGREGAR E INVESTIGAR",IF(M32="Esgotado","REVISAR STATUS COM SALDO",IF(N32="VENCIDO","SEGREGAR E AVALIAR DESTINAÇÃO",IF(OR(N32="CRÍTICO",N32="VENCE NA JANELA"),"PRIORIZAR FEFO","MANTER ROTAÇÃO"))))))))</x:f>
      </x:c>
      <x:c r="Q32" s="27"/>
      <x:c r="R32" s="181" t="str">
        <x:f>IF(A32="","",IF(OR(U32&gt;0,Listas!$B$13&lt;&gt;"OK"),"n.a.",IF(OR(N32="VENCIDO",N32="CRÍTICO",N32="VENCE NA JANELA",M32="Quarentena",M32="Bloqueado"),L32,0)))</x:f>
      </x:c>
      <x:c r="S32" s="163" t="str">
        <x:f>IF(COUNTA(A32:B32,D32:G32,I32,K32,M32,Q32,AB32:AD32)=0,"",IF(OR(A32="",COUNTIFS($A$5:$A$204,A32)&lt;&gt;1),"Lote ausente ou duplicado",IF(OR(B32="",COUNTIFS(Produtos!$A$5:$A$204,B32)&lt;&gt;1),"SKU ausente ou desconhecido",IF(COUNTIFS(Produtos!$A$5:$A$204,B32,Produtos!$R$5:$R$204,1)&gt;0,"Revisar cadastro do produto",IF(OR(NOT(ISNUMBER(E32)),E32&lt;=0,NOT(ISNUMBER(G32)),G32&lt;=0,G32&lt;E32),"Recebimento ou validade inválida",IF(AND(F32&lt;&gt;"",OR(NOT(ISNUMBER(F32)),F32&lt;=0,F32&gt;E32)),"Fabricação inválida ou posterior ao recebimento",IF(OR(NOT(ISNUMBER(K32)),K32&lt;0,NOT(ISNUMBER(I32)),I32&lt;0),"Quantidade recebida ou custo inválido",IF(AND(M32&lt;&gt;"Liberado",M32&lt;&gt;"Quarentena",M32&lt;&gt;"Bloqueado",M32&lt;&gt;"Esgotado"),"Status de lote inválido",""))))))))</x:f>
      </x:c>
      <x:c r="T32" s="163" t="n">
        <x:f>IF(A32="",0,COUNTIFS(Movimentacoes!$D$5:$D$304,A32,Movimentacoes!$P$5:$P$304,1))</x:f>
        <x:v>0</x:v>
      </x:c>
      <x:c r="U32" s="163" t="n">
        <x:f>IF(COUNTA(A32:B32,D32:G32,I32,K32,M32,Q32,AB32:AD32)=0,0,IF(OR(S32&lt;&gt;"",T32&gt;0),1,IF(ISNUMBER(J32),IF(OR(J32&lt;0,AND(J32&gt;0,M32="Esgotado")),1,0),0)))</x:f>
        <x:v>0</x:v>
      </x:c>
      <x:c r="V32" s="163" t="str">
        <x:f>IF(A32="","",IF(OR(U32&gt;0,Listas!$B$13&lt;&gt;"OK"),"n.a.",IF(AND(J32&gt;0,M32="Liberado",G32&gt;=Listas!$B$6),J32,0)))</x:f>
      </x:c>
      <x:c r="W32" s="163" t="str">
        <x:f>IF(A32="","",IF(OR(U32&gt;0,Listas!$B$13&lt;&gt;"OK"),"n.a.",V32*K32))</x:f>
      </x:c>
      <x:c r="X32" s="167" t="n">
        <x:f>IF(COUNTA(A32:B32,D32:G32,I32,K32,M32,Q32,AB32:AD32)=0,0,IF(OR(Listas!$B$19="Todos",B32=Listas!$B$19,COUNTIFS(Produtos!$A$5:$A$204,B32)&lt;&gt;1),1,0))</x:f>
        <x:v>0</x:v>
      </x:c>
      <x:c r="Y32" s="167" t="str">
        <x:f>IF(X32=0,"",IF(Listas!$B$13&lt;&gt;"OK","Revisar parâmetros",IF(U32&gt;0,IF(S32&lt;&gt;"",S32,IF(T32&gt;0,"Revisar movimentos",IF(AND(ISNUMBER(J32),J32&lt;0),"Saldo negativo","Status esgotado com saldo"))),IF(AG32&lt;&gt;"",AG32&amp;". ","")&amp;IF(J32&lt;=0,"",IF(N32="VENCIDO","Validade vencida. ","")&amp;IF(M32="Quarentena","Em quarentena. ","")&amp;IF(M32="Bloqueado","Lote bloqueado. ","")&amp;IF(N32="CRÍTICO","Validade crítica. ","")&amp;IF(N32="VENCE NA JANELA","Vence na janela. ","")))))</x:f>
      </x:c>
      <x:c r="Z32" s="167" t="n">
        <x:f>IF(OR(X32=0,Y32=""),0,IF(OR(Listas!$B$13&lt;&gt;"OK",U32&gt;0,AH32&gt;0),1,IF(N32="VENCIDO",2,IF(OR(M32="Quarentena",M32="Bloqueado"),3,IF(N32="CRÍTICO",4,5)))))</x:f>
        <x:v>0</x:v>
      </x:c>
      <x:c r="AA32" s="167" t="n">
        <x:f>IF(Z32=0,0,COUNTIFS($Z$5:$Z$204,"&gt;0",$Z$5:$Z$204,"&lt;"&amp;Z32,$X$5:$X$204,1)+COUNTIFS($Z$5:Z32,Z32,$X$5:X32,1))</x:f>
        <x:v>0</x:v>
      </x:c>
      <x:c r="AB32" s="168"/>
      <x:c r="AC32" s="168"/>
      <x:c r="AD32" s="169"/>
      <x:c r="AE32" s="167" t="str">
        <x:f>IF(X32=0,"",IF(OR(U32&gt;0,Listas!$B$13&lt;&gt;"OK"),"Dados pendentes",IF(J32&lt;=0,"Sem saldo",IF(N32="VENCIDO","Vencidos",IF(OR(M32="Quarentena",M32="Bloqueado"),"Restritos vigentes",IF(OR(N32="CRÍTICO",N32="VENCE NA JANELA"),"Liberados na janela","Demais liberados"))))))</x:f>
      </x:c>
      <x:c r="AF32" s="167" t="str">
        <x:f>IF(A32&lt;&gt;"",A32,IF(U32&gt;0,"Sem ID (linha "&amp;ROW()&amp;")",""))</x:f>
      </x:c>
      <x:c r="AG32" s="167" t="str">
        <x:f>IF(AD32="","",IF(OR(NOT(ISNUMBER(AD32)),AD32&lt;=0),"Prazo da ação inválido",""))</x:f>
      </x:c>
      <x:c r="AH32" s="167" t="n">
        <x:f>IF(AG32="",0,1)</x:f>
        <x:v>0</x:v>
      </x:c>
    </x:row>
    <x:row r="33" ht="32" customHeight="1">
      <x:c r="A33" s="27"/>
      <x:c r="B33" s="27"/>
      <x:c r="C33" s="40" t="str">
        <x:f>IF($B33="","",IFERROR(INDEX(Produtos!$B$5:$B$204,MATCH($B33,Produtos!$A$5:$A$204,0)),""))</x:f>
      </x:c>
      <x:c r="D33" s="170"/>
      <x:c r="E33" s="179"/>
      <x:c r="F33" s="179"/>
      <x:c r="G33" s="179"/>
      <x:c r="H33" s="40" t="str">
        <x:f>IF(A33="","",IF(OR(S33&lt;&gt;"",Listas!$B$13&lt;&gt;"OK"),"n.a.",G33-Listas!$B$6))</x:f>
      </x:c>
      <x:c r="I33" s="40"/>
      <x:c r="J33" s="40" t="str">
        <x:f>IF(A33="","",IF(OR(S33&lt;&gt;"",T33&gt;0,Listas!$B$13&lt;&gt;"OK"),"n.a.",SUMIFS(Movimentacoes!$H$5:$H$304,Movimentacoes!$D$5:$D$304,A33,Movimentacoes!$B$5:$B$304,"&lt;="&amp;Listas!$B$6)))</x:f>
      </x:c>
      <x:c r="K33" s="180"/>
      <x:c r="L33" s="181" t="str">
        <x:f>IF(A33="","",IF(OR(U33&gt;0,Listas!$B$13&lt;&gt;"OK"),"n.a.",J33*K33))</x:f>
      </x:c>
      <x:c r="M33" s="27"/>
      <x:c r="N33" s="40" t="str">
        <x:f>IF(A33="","",IF(OR(U33&gt;0,Listas!$B$13&lt;&gt;"OK"),"REVISAR DADOS",IF(J33=0,"SEM SALDO",IF(G33&lt;Listas!$B$6,"VENCIDO",IF(H33&lt;=Listas!$B$7,"CRÍTICO",IF(H33&lt;=Listas!$B$8,"VENCE NA JANELA","OK"))))))</x:f>
      </x:c>
      <x:c r="O33" s="41" t="str">
        <x:f>IF(A33="","",IF(AND(ISNUMBER(V33),V33&gt;0),G33,""))</x:f>
      </x:c>
      <x:c r="P33" s="40" t="str">
        <x:f>IF(A33="","",IF(OR(U33&gt;0,Listas!$B$13&lt;&gt;"OK"),"REVISAR DADOS",IF(J33=0,"ARQUIVAR LOTE",IF(M33="Quarentena","DECIDIR LIBERAÇÃO",IF(M33="Bloqueado","SEGREGAR E INVESTIGAR",IF(M33="Esgotado","REVISAR STATUS COM SALDO",IF(N33="VENCIDO","SEGREGAR E AVALIAR DESTINAÇÃO",IF(OR(N33="CRÍTICO",N33="VENCE NA JANELA"),"PRIORIZAR FEFO","MANTER ROTAÇÃO"))))))))</x:f>
      </x:c>
      <x:c r="Q33" s="27"/>
      <x:c r="R33" s="181" t="str">
        <x:f>IF(A33="","",IF(OR(U33&gt;0,Listas!$B$13&lt;&gt;"OK"),"n.a.",IF(OR(N33="VENCIDO",N33="CRÍTICO",N33="VENCE NA JANELA",M33="Quarentena",M33="Bloqueado"),L33,0)))</x:f>
      </x:c>
      <x:c r="S33" s="163" t="str">
        <x:f>IF(COUNTA(A33:B33,D33:G33,I33,K33,M33,Q33,AB33:AD33)=0,"",IF(OR(A33="",COUNTIFS($A$5:$A$204,A33)&lt;&gt;1),"Lote ausente ou duplicado",IF(OR(B33="",COUNTIFS(Produtos!$A$5:$A$204,B33)&lt;&gt;1),"SKU ausente ou desconhecido",IF(COUNTIFS(Produtos!$A$5:$A$204,B33,Produtos!$R$5:$R$204,1)&gt;0,"Revisar cadastro do produto",IF(OR(NOT(ISNUMBER(E33)),E33&lt;=0,NOT(ISNUMBER(G33)),G33&lt;=0,G33&lt;E33),"Recebimento ou validade inválida",IF(AND(F33&lt;&gt;"",OR(NOT(ISNUMBER(F33)),F33&lt;=0,F33&gt;E33)),"Fabricação inválida ou posterior ao recebimento",IF(OR(NOT(ISNUMBER(K33)),K33&lt;0,NOT(ISNUMBER(I33)),I33&lt;0),"Quantidade recebida ou custo inválido",IF(AND(M33&lt;&gt;"Liberado",M33&lt;&gt;"Quarentena",M33&lt;&gt;"Bloqueado",M33&lt;&gt;"Esgotado"),"Status de lote inválido",""))))))))</x:f>
      </x:c>
      <x:c r="T33" s="163" t="n">
        <x:f>IF(A33="",0,COUNTIFS(Movimentacoes!$D$5:$D$304,A33,Movimentacoes!$P$5:$P$304,1))</x:f>
        <x:v>0</x:v>
      </x:c>
      <x:c r="U33" s="163" t="n">
        <x:f>IF(COUNTA(A33:B33,D33:G33,I33,K33,M33,Q33,AB33:AD33)=0,0,IF(OR(S33&lt;&gt;"",T33&gt;0),1,IF(ISNUMBER(J33),IF(OR(J33&lt;0,AND(J33&gt;0,M33="Esgotado")),1,0),0)))</x:f>
        <x:v>0</x:v>
      </x:c>
      <x:c r="V33" s="163" t="str">
        <x:f>IF(A33="","",IF(OR(U33&gt;0,Listas!$B$13&lt;&gt;"OK"),"n.a.",IF(AND(J33&gt;0,M33="Liberado",G33&gt;=Listas!$B$6),J33,0)))</x:f>
      </x:c>
      <x:c r="W33" s="163" t="str">
        <x:f>IF(A33="","",IF(OR(U33&gt;0,Listas!$B$13&lt;&gt;"OK"),"n.a.",V33*K33))</x:f>
      </x:c>
      <x:c r="X33" s="167" t="n">
        <x:f>IF(COUNTA(A33:B33,D33:G33,I33,K33,M33,Q33,AB33:AD33)=0,0,IF(OR(Listas!$B$19="Todos",B33=Listas!$B$19,COUNTIFS(Produtos!$A$5:$A$204,B33)&lt;&gt;1),1,0))</x:f>
        <x:v>0</x:v>
      </x:c>
      <x:c r="Y33" s="167" t="str">
        <x:f>IF(X33=0,"",IF(Listas!$B$13&lt;&gt;"OK","Revisar parâmetros",IF(U33&gt;0,IF(S33&lt;&gt;"",S33,IF(T33&gt;0,"Revisar movimentos",IF(AND(ISNUMBER(J33),J33&lt;0),"Saldo negativo","Status esgotado com saldo"))),IF(AG33&lt;&gt;"",AG33&amp;". ","")&amp;IF(J33&lt;=0,"",IF(N33="VENCIDO","Validade vencida. ","")&amp;IF(M33="Quarentena","Em quarentena. ","")&amp;IF(M33="Bloqueado","Lote bloqueado. ","")&amp;IF(N33="CRÍTICO","Validade crítica. ","")&amp;IF(N33="VENCE NA JANELA","Vence na janela. ","")))))</x:f>
      </x:c>
      <x:c r="Z33" s="167" t="n">
        <x:f>IF(OR(X33=0,Y33=""),0,IF(OR(Listas!$B$13&lt;&gt;"OK",U33&gt;0,AH33&gt;0),1,IF(N33="VENCIDO",2,IF(OR(M33="Quarentena",M33="Bloqueado"),3,IF(N33="CRÍTICO",4,5)))))</x:f>
        <x:v>0</x:v>
      </x:c>
      <x:c r="AA33" s="167" t="n">
        <x:f>IF(Z33=0,0,COUNTIFS($Z$5:$Z$204,"&gt;0",$Z$5:$Z$204,"&lt;"&amp;Z33,$X$5:$X$204,1)+COUNTIFS($Z$5:Z33,Z33,$X$5:X33,1))</x:f>
        <x:v>0</x:v>
      </x:c>
      <x:c r="AB33" s="168"/>
      <x:c r="AC33" s="168"/>
      <x:c r="AD33" s="169"/>
      <x:c r="AE33" s="167" t="str">
        <x:f>IF(X33=0,"",IF(OR(U33&gt;0,Listas!$B$13&lt;&gt;"OK"),"Dados pendentes",IF(J33&lt;=0,"Sem saldo",IF(N33="VENCIDO","Vencidos",IF(OR(M33="Quarentena",M33="Bloqueado"),"Restritos vigentes",IF(OR(N33="CRÍTICO",N33="VENCE NA JANELA"),"Liberados na janela","Demais liberados"))))))</x:f>
      </x:c>
      <x:c r="AF33" s="167" t="str">
        <x:f>IF(A33&lt;&gt;"",A33,IF(U33&gt;0,"Sem ID (linha "&amp;ROW()&amp;")",""))</x:f>
      </x:c>
      <x:c r="AG33" s="167" t="str">
        <x:f>IF(AD33="","",IF(OR(NOT(ISNUMBER(AD33)),AD33&lt;=0),"Prazo da ação inválido",""))</x:f>
      </x:c>
      <x:c r="AH33" s="167" t="n">
        <x:f>IF(AG33="",0,1)</x:f>
        <x:v>0</x:v>
      </x:c>
    </x:row>
    <x:row r="34" ht="32" customHeight="1">
      <x:c r="A34" s="27"/>
      <x:c r="B34" s="27"/>
      <x:c r="C34" s="40" t="str">
        <x:f>IF($B34="","",IFERROR(INDEX(Produtos!$B$5:$B$204,MATCH($B34,Produtos!$A$5:$A$204,0)),""))</x:f>
      </x:c>
      <x:c r="D34" s="170"/>
      <x:c r="E34" s="179"/>
      <x:c r="F34" s="179"/>
      <x:c r="G34" s="179"/>
      <x:c r="H34" s="40" t="str">
        <x:f>IF(A34="","",IF(OR(S34&lt;&gt;"",Listas!$B$13&lt;&gt;"OK"),"n.a.",G34-Listas!$B$6))</x:f>
      </x:c>
      <x:c r="I34" s="40"/>
      <x:c r="J34" s="40" t="str">
        <x:f>IF(A34="","",IF(OR(S34&lt;&gt;"",T34&gt;0,Listas!$B$13&lt;&gt;"OK"),"n.a.",SUMIFS(Movimentacoes!$H$5:$H$304,Movimentacoes!$D$5:$D$304,A34,Movimentacoes!$B$5:$B$304,"&lt;="&amp;Listas!$B$6)))</x:f>
      </x:c>
      <x:c r="K34" s="180"/>
      <x:c r="L34" s="181" t="str">
        <x:f>IF(A34="","",IF(OR(U34&gt;0,Listas!$B$13&lt;&gt;"OK"),"n.a.",J34*K34))</x:f>
      </x:c>
      <x:c r="M34" s="27"/>
      <x:c r="N34" s="40" t="str">
        <x:f>IF(A34="","",IF(OR(U34&gt;0,Listas!$B$13&lt;&gt;"OK"),"REVISAR DADOS",IF(J34=0,"SEM SALDO",IF(G34&lt;Listas!$B$6,"VENCIDO",IF(H34&lt;=Listas!$B$7,"CRÍTICO",IF(H34&lt;=Listas!$B$8,"VENCE NA JANELA","OK"))))))</x:f>
      </x:c>
      <x:c r="O34" s="41" t="str">
        <x:f>IF(A34="","",IF(AND(ISNUMBER(V34),V34&gt;0),G34,""))</x:f>
      </x:c>
      <x:c r="P34" s="40" t="str">
        <x:f>IF(A34="","",IF(OR(U34&gt;0,Listas!$B$13&lt;&gt;"OK"),"REVISAR DADOS",IF(J34=0,"ARQUIVAR LOTE",IF(M34="Quarentena","DECIDIR LIBERAÇÃO",IF(M34="Bloqueado","SEGREGAR E INVESTIGAR",IF(M34="Esgotado","REVISAR STATUS COM SALDO",IF(N34="VENCIDO","SEGREGAR E AVALIAR DESTINAÇÃO",IF(OR(N34="CRÍTICO",N34="VENCE NA JANELA"),"PRIORIZAR FEFO","MANTER ROTAÇÃO"))))))))</x:f>
      </x:c>
      <x:c r="Q34" s="27"/>
      <x:c r="R34" s="181" t="str">
        <x:f>IF(A34="","",IF(OR(U34&gt;0,Listas!$B$13&lt;&gt;"OK"),"n.a.",IF(OR(N34="VENCIDO",N34="CRÍTICO",N34="VENCE NA JANELA",M34="Quarentena",M34="Bloqueado"),L34,0)))</x:f>
      </x:c>
      <x:c r="S34" s="163" t="str">
        <x:f>IF(COUNTA(A34:B34,D34:G34,I34,K34,M34,Q34,AB34:AD34)=0,"",IF(OR(A34="",COUNTIFS($A$5:$A$204,A34)&lt;&gt;1),"Lote ausente ou duplicado",IF(OR(B34="",COUNTIFS(Produtos!$A$5:$A$204,B34)&lt;&gt;1),"SKU ausente ou desconhecido",IF(COUNTIFS(Produtos!$A$5:$A$204,B34,Produtos!$R$5:$R$204,1)&gt;0,"Revisar cadastro do produto",IF(OR(NOT(ISNUMBER(E34)),E34&lt;=0,NOT(ISNUMBER(G34)),G34&lt;=0,G34&lt;E34),"Recebimento ou validade inválida",IF(AND(F34&lt;&gt;"",OR(NOT(ISNUMBER(F34)),F34&lt;=0,F34&gt;E34)),"Fabricação inválida ou posterior ao recebimento",IF(OR(NOT(ISNUMBER(K34)),K34&lt;0,NOT(ISNUMBER(I34)),I34&lt;0),"Quantidade recebida ou custo inválido",IF(AND(M34&lt;&gt;"Liberado",M34&lt;&gt;"Quarentena",M34&lt;&gt;"Bloqueado",M34&lt;&gt;"Esgotado"),"Status de lote inválido",""))))))))</x:f>
      </x:c>
      <x:c r="T34" s="163" t="n">
        <x:f>IF(A34="",0,COUNTIFS(Movimentacoes!$D$5:$D$304,A34,Movimentacoes!$P$5:$P$304,1))</x:f>
        <x:v>0</x:v>
      </x:c>
      <x:c r="U34" s="163" t="n">
        <x:f>IF(COUNTA(A34:B34,D34:G34,I34,K34,M34,Q34,AB34:AD34)=0,0,IF(OR(S34&lt;&gt;"",T34&gt;0),1,IF(ISNUMBER(J34),IF(OR(J34&lt;0,AND(J34&gt;0,M34="Esgotado")),1,0),0)))</x:f>
        <x:v>0</x:v>
      </x:c>
      <x:c r="V34" s="163" t="str">
        <x:f>IF(A34="","",IF(OR(U34&gt;0,Listas!$B$13&lt;&gt;"OK"),"n.a.",IF(AND(J34&gt;0,M34="Liberado",G34&gt;=Listas!$B$6),J34,0)))</x:f>
      </x:c>
      <x:c r="W34" s="163" t="str">
        <x:f>IF(A34="","",IF(OR(U34&gt;0,Listas!$B$13&lt;&gt;"OK"),"n.a.",V34*K34))</x:f>
      </x:c>
      <x:c r="X34" s="167" t="n">
        <x:f>IF(COUNTA(A34:B34,D34:G34,I34,K34,M34,Q34,AB34:AD34)=0,0,IF(OR(Listas!$B$19="Todos",B34=Listas!$B$19,COUNTIFS(Produtos!$A$5:$A$204,B34)&lt;&gt;1),1,0))</x:f>
        <x:v>0</x:v>
      </x:c>
      <x:c r="Y34" s="167" t="str">
        <x:f>IF(X34=0,"",IF(Listas!$B$13&lt;&gt;"OK","Revisar parâmetros",IF(U34&gt;0,IF(S34&lt;&gt;"",S34,IF(T34&gt;0,"Revisar movimentos",IF(AND(ISNUMBER(J34),J34&lt;0),"Saldo negativo","Status esgotado com saldo"))),IF(AG34&lt;&gt;"",AG34&amp;". ","")&amp;IF(J34&lt;=0,"",IF(N34="VENCIDO","Validade vencida. ","")&amp;IF(M34="Quarentena","Em quarentena. ","")&amp;IF(M34="Bloqueado","Lote bloqueado. ","")&amp;IF(N34="CRÍTICO","Validade crítica. ","")&amp;IF(N34="VENCE NA JANELA","Vence na janela. ","")))))</x:f>
      </x:c>
      <x:c r="Z34" s="167" t="n">
        <x:f>IF(OR(X34=0,Y34=""),0,IF(OR(Listas!$B$13&lt;&gt;"OK",U34&gt;0,AH34&gt;0),1,IF(N34="VENCIDO",2,IF(OR(M34="Quarentena",M34="Bloqueado"),3,IF(N34="CRÍTICO",4,5)))))</x:f>
        <x:v>0</x:v>
      </x:c>
      <x:c r="AA34" s="167" t="n">
        <x:f>IF(Z34=0,0,COUNTIFS($Z$5:$Z$204,"&gt;0",$Z$5:$Z$204,"&lt;"&amp;Z34,$X$5:$X$204,1)+COUNTIFS($Z$5:Z34,Z34,$X$5:X34,1))</x:f>
        <x:v>0</x:v>
      </x:c>
      <x:c r="AB34" s="168"/>
      <x:c r="AC34" s="168"/>
      <x:c r="AD34" s="169"/>
      <x:c r="AE34" s="167" t="str">
        <x:f>IF(X34=0,"",IF(OR(U34&gt;0,Listas!$B$13&lt;&gt;"OK"),"Dados pendentes",IF(J34&lt;=0,"Sem saldo",IF(N34="VENCIDO","Vencidos",IF(OR(M34="Quarentena",M34="Bloqueado"),"Restritos vigentes",IF(OR(N34="CRÍTICO",N34="VENCE NA JANELA"),"Liberados na janela","Demais liberados"))))))</x:f>
      </x:c>
      <x:c r="AF34" s="167" t="str">
        <x:f>IF(A34&lt;&gt;"",A34,IF(U34&gt;0,"Sem ID (linha "&amp;ROW()&amp;")",""))</x:f>
      </x:c>
      <x:c r="AG34" s="167" t="str">
        <x:f>IF(AD34="","",IF(OR(NOT(ISNUMBER(AD34)),AD34&lt;=0),"Prazo da ação inválido",""))</x:f>
      </x:c>
      <x:c r="AH34" s="167" t="n">
        <x:f>IF(AG34="",0,1)</x:f>
        <x:v>0</x:v>
      </x:c>
    </x:row>
    <x:row r="35" ht="32" customHeight="1">
      <x:c r="A35" s="27"/>
      <x:c r="B35" s="27"/>
      <x:c r="C35" s="40" t="str">
        <x:f>IF($B35="","",IFERROR(INDEX(Produtos!$B$5:$B$204,MATCH($B35,Produtos!$A$5:$A$204,0)),""))</x:f>
      </x:c>
      <x:c r="D35" s="170"/>
      <x:c r="E35" s="179"/>
      <x:c r="F35" s="179"/>
      <x:c r="G35" s="179"/>
      <x:c r="H35" s="40" t="str">
        <x:f>IF(A35="","",IF(OR(S35&lt;&gt;"",Listas!$B$13&lt;&gt;"OK"),"n.a.",G35-Listas!$B$6))</x:f>
      </x:c>
      <x:c r="I35" s="40"/>
      <x:c r="J35" s="40" t="str">
        <x:f>IF(A35="","",IF(OR(S35&lt;&gt;"",T35&gt;0,Listas!$B$13&lt;&gt;"OK"),"n.a.",SUMIFS(Movimentacoes!$H$5:$H$304,Movimentacoes!$D$5:$D$304,A35,Movimentacoes!$B$5:$B$304,"&lt;="&amp;Listas!$B$6)))</x:f>
      </x:c>
      <x:c r="K35" s="180"/>
      <x:c r="L35" s="181" t="str">
        <x:f>IF(A35="","",IF(OR(U35&gt;0,Listas!$B$13&lt;&gt;"OK"),"n.a.",J35*K35))</x:f>
      </x:c>
      <x:c r="M35" s="27"/>
      <x:c r="N35" s="40" t="str">
        <x:f>IF(A35="","",IF(OR(U35&gt;0,Listas!$B$13&lt;&gt;"OK"),"REVISAR DADOS",IF(J35=0,"SEM SALDO",IF(G35&lt;Listas!$B$6,"VENCIDO",IF(H35&lt;=Listas!$B$7,"CRÍTICO",IF(H35&lt;=Listas!$B$8,"VENCE NA JANELA","OK"))))))</x:f>
      </x:c>
      <x:c r="O35" s="41" t="str">
        <x:f>IF(A35="","",IF(AND(ISNUMBER(V35),V35&gt;0),G35,""))</x:f>
      </x:c>
      <x:c r="P35" s="40" t="str">
        <x:f>IF(A35="","",IF(OR(U35&gt;0,Listas!$B$13&lt;&gt;"OK"),"REVISAR DADOS",IF(J35=0,"ARQUIVAR LOTE",IF(M35="Quarentena","DECIDIR LIBERAÇÃO",IF(M35="Bloqueado","SEGREGAR E INVESTIGAR",IF(M35="Esgotado","REVISAR STATUS COM SALDO",IF(N35="VENCIDO","SEGREGAR E AVALIAR DESTINAÇÃO",IF(OR(N35="CRÍTICO",N35="VENCE NA JANELA"),"PRIORIZAR FEFO","MANTER ROTAÇÃO"))))))))</x:f>
      </x:c>
      <x:c r="Q35" s="27"/>
      <x:c r="R35" s="181" t="str">
        <x:f>IF(A35="","",IF(OR(U35&gt;0,Listas!$B$13&lt;&gt;"OK"),"n.a.",IF(OR(N35="VENCIDO",N35="CRÍTICO",N35="VENCE NA JANELA",M35="Quarentena",M35="Bloqueado"),L35,0)))</x:f>
      </x:c>
      <x:c r="S35" s="163" t="str">
        <x:f>IF(COUNTA(A35:B35,D35:G35,I35,K35,M35,Q35,AB35:AD35)=0,"",IF(OR(A35="",COUNTIFS($A$5:$A$204,A35)&lt;&gt;1),"Lote ausente ou duplicado",IF(OR(B35="",COUNTIFS(Produtos!$A$5:$A$204,B35)&lt;&gt;1),"SKU ausente ou desconhecido",IF(COUNTIFS(Produtos!$A$5:$A$204,B35,Produtos!$R$5:$R$204,1)&gt;0,"Revisar cadastro do produto",IF(OR(NOT(ISNUMBER(E35)),E35&lt;=0,NOT(ISNUMBER(G35)),G35&lt;=0,G35&lt;E35),"Recebimento ou validade inválida",IF(AND(F35&lt;&gt;"",OR(NOT(ISNUMBER(F35)),F35&lt;=0,F35&gt;E35)),"Fabricação inválida ou posterior ao recebimento",IF(OR(NOT(ISNUMBER(K35)),K35&lt;0,NOT(ISNUMBER(I35)),I35&lt;0),"Quantidade recebida ou custo inválido",IF(AND(M35&lt;&gt;"Liberado",M35&lt;&gt;"Quarentena",M35&lt;&gt;"Bloqueado",M35&lt;&gt;"Esgotado"),"Status de lote inválido",""))))))))</x:f>
      </x:c>
      <x:c r="T35" s="163" t="n">
        <x:f>IF(A35="",0,COUNTIFS(Movimentacoes!$D$5:$D$304,A35,Movimentacoes!$P$5:$P$304,1))</x:f>
        <x:v>0</x:v>
      </x:c>
      <x:c r="U35" s="163" t="n">
        <x:f>IF(COUNTA(A35:B35,D35:G35,I35,K35,M35,Q35,AB35:AD35)=0,0,IF(OR(S35&lt;&gt;"",T35&gt;0),1,IF(ISNUMBER(J35),IF(OR(J35&lt;0,AND(J35&gt;0,M35="Esgotado")),1,0),0)))</x:f>
        <x:v>0</x:v>
      </x:c>
      <x:c r="V35" s="163" t="str">
        <x:f>IF(A35="","",IF(OR(U35&gt;0,Listas!$B$13&lt;&gt;"OK"),"n.a.",IF(AND(J35&gt;0,M35="Liberado",G35&gt;=Listas!$B$6),J35,0)))</x:f>
      </x:c>
      <x:c r="W35" s="163" t="str">
        <x:f>IF(A35="","",IF(OR(U35&gt;0,Listas!$B$13&lt;&gt;"OK"),"n.a.",V35*K35))</x:f>
      </x:c>
      <x:c r="X35" s="167" t="n">
        <x:f>IF(COUNTA(A35:B35,D35:G35,I35,K35,M35,Q35,AB35:AD35)=0,0,IF(OR(Listas!$B$19="Todos",B35=Listas!$B$19,COUNTIFS(Produtos!$A$5:$A$204,B35)&lt;&gt;1),1,0))</x:f>
        <x:v>0</x:v>
      </x:c>
      <x:c r="Y35" s="167" t="str">
        <x:f>IF(X35=0,"",IF(Listas!$B$13&lt;&gt;"OK","Revisar parâmetros",IF(U35&gt;0,IF(S35&lt;&gt;"",S35,IF(T35&gt;0,"Revisar movimentos",IF(AND(ISNUMBER(J35),J35&lt;0),"Saldo negativo","Status esgotado com saldo"))),IF(AG35&lt;&gt;"",AG35&amp;". ","")&amp;IF(J35&lt;=0,"",IF(N35="VENCIDO","Validade vencida. ","")&amp;IF(M35="Quarentena","Em quarentena. ","")&amp;IF(M35="Bloqueado","Lote bloqueado. ","")&amp;IF(N35="CRÍTICO","Validade crítica. ","")&amp;IF(N35="VENCE NA JANELA","Vence na janela. ","")))))</x:f>
      </x:c>
      <x:c r="Z35" s="167" t="n">
        <x:f>IF(OR(X35=0,Y35=""),0,IF(OR(Listas!$B$13&lt;&gt;"OK",U35&gt;0,AH35&gt;0),1,IF(N35="VENCIDO",2,IF(OR(M35="Quarentena",M35="Bloqueado"),3,IF(N35="CRÍTICO",4,5)))))</x:f>
        <x:v>0</x:v>
      </x:c>
      <x:c r="AA35" s="167" t="n">
        <x:f>IF(Z35=0,0,COUNTIFS($Z$5:$Z$204,"&gt;0",$Z$5:$Z$204,"&lt;"&amp;Z35,$X$5:$X$204,1)+COUNTIFS($Z$5:Z35,Z35,$X$5:X35,1))</x:f>
        <x:v>0</x:v>
      </x:c>
      <x:c r="AB35" s="168"/>
      <x:c r="AC35" s="168"/>
      <x:c r="AD35" s="169"/>
      <x:c r="AE35" s="167" t="str">
        <x:f>IF(X35=0,"",IF(OR(U35&gt;0,Listas!$B$13&lt;&gt;"OK"),"Dados pendentes",IF(J35&lt;=0,"Sem saldo",IF(N35="VENCIDO","Vencidos",IF(OR(M35="Quarentena",M35="Bloqueado"),"Restritos vigentes",IF(OR(N35="CRÍTICO",N35="VENCE NA JANELA"),"Liberados na janela","Demais liberados"))))))</x:f>
      </x:c>
      <x:c r="AF35" s="167" t="str">
        <x:f>IF(A35&lt;&gt;"",A35,IF(U35&gt;0,"Sem ID (linha "&amp;ROW()&amp;")",""))</x:f>
      </x:c>
      <x:c r="AG35" s="167" t="str">
        <x:f>IF(AD35="","",IF(OR(NOT(ISNUMBER(AD35)),AD35&lt;=0),"Prazo da ação inválido",""))</x:f>
      </x:c>
      <x:c r="AH35" s="167" t="n">
        <x:f>IF(AG35="",0,1)</x:f>
        <x:v>0</x:v>
      </x:c>
    </x:row>
    <x:row r="36" ht="32" customHeight="1">
      <x:c r="A36" s="27"/>
      <x:c r="B36" s="27"/>
      <x:c r="C36" s="40" t="str">
        <x:f>IF($B36="","",IFERROR(INDEX(Produtos!$B$5:$B$204,MATCH($B36,Produtos!$A$5:$A$204,0)),""))</x:f>
      </x:c>
      <x:c r="D36" s="170"/>
      <x:c r="E36" s="179"/>
      <x:c r="F36" s="179"/>
      <x:c r="G36" s="179"/>
      <x:c r="H36" s="40" t="str">
        <x:f>IF(A36="","",IF(OR(S36&lt;&gt;"",Listas!$B$13&lt;&gt;"OK"),"n.a.",G36-Listas!$B$6))</x:f>
      </x:c>
      <x:c r="I36" s="40"/>
      <x:c r="J36" s="40" t="str">
        <x:f>IF(A36="","",IF(OR(S36&lt;&gt;"",T36&gt;0,Listas!$B$13&lt;&gt;"OK"),"n.a.",SUMIFS(Movimentacoes!$H$5:$H$304,Movimentacoes!$D$5:$D$304,A36,Movimentacoes!$B$5:$B$304,"&lt;="&amp;Listas!$B$6)))</x:f>
      </x:c>
      <x:c r="K36" s="180"/>
      <x:c r="L36" s="181" t="str">
        <x:f>IF(A36="","",IF(OR(U36&gt;0,Listas!$B$13&lt;&gt;"OK"),"n.a.",J36*K36))</x:f>
      </x:c>
      <x:c r="M36" s="27"/>
      <x:c r="N36" s="40" t="str">
        <x:f>IF(A36="","",IF(OR(U36&gt;0,Listas!$B$13&lt;&gt;"OK"),"REVISAR DADOS",IF(J36=0,"SEM SALDO",IF(G36&lt;Listas!$B$6,"VENCIDO",IF(H36&lt;=Listas!$B$7,"CRÍTICO",IF(H36&lt;=Listas!$B$8,"VENCE NA JANELA","OK"))))))</x:f>
      </x:c>
      <x:c r="O36" s="41" t="str">
        <x:f>IF(A36="","",IF(AND(ISNUMBER(V36),V36&gt;0),G36,""))</x:f>
      </x:c>
      <x:c r="P36" s="40" t="str">
        <x:f>IF(A36="","",IF(OR(U36&gt;0,Listas!$B$13&lt;&gt;"OK"),"REVISAR DADOS",IF(J36=0,"ARQUIVAR LOTE",IF(M36="Quarentena","DECIDIR LIBERAÇÃO",IF(M36="Bloqueado","SEGREGAR E INVESTIGAR",IF(M36="Esgotado","REVISAR STATUS COM SALDO",IF(N36="VENCIDO","SEGREGAR E AVALIAR DESTINAÇÃO",IF(OR(N36="CRÍTICO",N36="VENCE NA JANELA"),"PRIORIZAR FEFO","MANTER ROTAÇÃO"))))))))</x:f>
      </x:c>
      <x:c r="Q36" s="27"/>
      <x:c r="R36" s="181" t="str">
        <x:f>IF(A36="","",IF(OR(U36&gt;0,Listas!$B$13&lt;&gt;"OK"),"n.a.",IF(OR(N36="VENCIDO",N36="CRÍTICO",N36="VENCE NA JANELA",M36="Quarentena",M36="Bloqueado"),L36,0)))</x:f>
      </x:c>
      <x:c r="S36" s="163" t="str">
        <x:f>IF(COUNTA(A36:B36,D36:G36,I36,K36,M36,Q36,AB36:AD36)=0,"",IF(OR(A36="",COUNTIFS($A$5:$A$204,A36)&lt;&gt;1),"Lote ausente ou duplicado",IF(OR(B36="",COUNTIFS(Produtos!$A$5:$A$204,B36)&lt;&gt;1),"SKU ausente ou desconhecido",IF(COUNTIFS(Produtos!$A$5:$A$204,B36,Produtos!$R$5:$R$204,1)&gt;0,"Revisar cadastro do produto",IF(OR(NOT(ISNUMBER(E36)),E36&lt;=0,NOT(ISNUMBER(G36)),G36&lt;=0,G36&lt;E36),"Recebimento ou validade inválida",IF(AND(F36&lt;&gt;"",OR(NOT(ISNUMBER(F36)),F36&lt;=0,F36&gt;E36)),"Fabricação inválida ou posterior ao recebimento",IF(OR(NOT(ISNUMBER(K36)),K36&lt;0,NOT(ISNUMBER(I36)),I36&lt;0),"Quantidade recebida ou custo inválido",IF(AND(M36&lt;&gt;"Liberado",M36&lt;&gt;"Quarentena",M36&lt;&gt;"Bloqueado",M36&lt;&gt;"Esgotado"),"Status de lote inválido",""))))))))</x:f>
      </x:c>
      <x:c r="T36" s="163" t="n">
        <x:f>IF(A36="",0,COUNTIFS(Movimentacoes!$D$5:$D$304,A36,Movimentacoes!$P$5:$P$304,1))</x:f>
        <x:v>0</x:v>
      </x:c>
      <x:c r="U36" s="163" t="n">
        <x:f>IF(COUNTA(A36:B36,D36:G36,I36,K36,M36,Q36,AB36:AD36)=0,0,IF(OR(S36&lt;&gt;"",T36&gt;0),1,IF(ISNUMBER(J36),IF(OR(J36&lt;0,AND(J36&gt;0,M36="Esgotado")),1,0),0)))</x:f>
        <x:v>0</x:v>
      </x:c>
      <x:c r="V36" s="163" t="str">
        <x:f>IF(A36="","",IF(OR(U36&gt;0,Listas!$B$13&lt;&gt;"OK"),"n.a.",IF(AND(J36&gt;0,M36="Liberado",G36&gt;=Listas!$B$6),J36,0)))</x:f>
      </x:c>
      <x:c r="W36" s="163" t="str">
        <x:f>IF(A36="","",IF(OR(U36&gt;0,Listas!$B$13&lt;&gt;"OK"),"n.a.",V36*K36))</x:f>
      </x:c>
      <x:c r="X36" s="167" t="n">
        <x:f>IF(COUNTA(A36:B36,D36:G36,I36,K36,M36,Q36,AB36:AD36)=0,0,IF(OR(Listas!$B$19="Todos",B36=Listas!$B$19,COUNTIFS(Produtos!$A$5:$A$204,B36)&lt;&gt;1),1,0))</x:f>
        <x:v>0</x:v>
      </x:c>
      <x:c r="Y36" s="167" t="str">
        <x:f>IF(X36=0,"",IF(Listas!$B$13&lt;&gt;"OK","Revisar parâmetros",IF(U36&gt;0,IF(S36&lt;&gt;"",S36,IF(T36&gt;0,"Revisar movimentos",IF(AND(ISNUMBER(J36),J36&lt;0),"Saldo negativo","Status esgotado com saldo"))),IF(AG36&lt;&gt;"",AG36&amp;". ","")&amp;IF(J36&lt;=0,"",IF(N36="VENCIDO","Validade vencida. ","")&amp;IF(M36="Quarentena","Em quarentena. ","")&amp;IF(M36="Bloqueado","Lote bloqueado. ","")&amp;IF(N36="CRÍTICO","Validade crítica. ","")&amp;IF(N36="VENCE NA JANELA","Vence na janela. ","")))))</x:f>
      </x:c>
      <x:c r="Z36" s="167" t="n">
        <x:f>IF(OR(X36=0,Y36=""),0,IF(OR(Listas!$B$13&lt;&gt;"OK",U36&gt;0,AH36&gt;0),1,IF(N36="VENCIDO",2,IF(OR(M36="Quarentena",M36="Bloqueado"),3,IF(N36="CRÍTICO",4,5)))))</x:f>
        <x:v>0</x:v>
      </x:c>
      <x:c r="AA36" s="167" t="n">
        <x:f>IF(Z36=0,0,COUNTIFS($Z$5:$Z$204,"&gt;0",$Z$5:$Z$204,"&lt;"&amp;Z36,$X$5:$X$204,1)+COUNTIFS($Z$5:Z36,Z36,$X$5:X36,1))</x:f>
        <x:v>0</x:v>
      </x:c>
      <x:c r="AB36" s="168"/>
      <x:c r="AC36" s="168"/>
      <x:c r="AD36" s="169"/>
      <x:c r="AE36" s="167" t="str">
        <x:f>IF(X36=0,"",IF(OR(U36&gt;0,Listas!$B$13&lt;&gt;"OK"),"Dados pendentes",IF(J36&lt;=0,"Sem saldo",IF(N36="VENCIDO","Vencidos",IF(OR(M36="Quarentena",M36="Bloqueado"),"Restritos vigentes",IF(OR(N36="CRÍTICO",N36="VENCE NA JANELA"),"Liberados na janela","Demais liberados"))))))</x:f>
      </x:c>
      <x:c r="AF36" s="167" t="str">
        <x:f>IF(A36&lt;&gt;"",A36,IF(U36&gt;0,"Sem ID (linha "&amp;ROW()&amp;")",""))</x:f>
      </x:c>
      <x:c r="AG36" s="167" t="str">
        <x:f>IF(AD36="","",IF(OR(NOT(ISNUMBER(AD36)),AD36&lt;=0),"Prazo da ação inválido",""))</x:f>
      </x:c>
      <x:c r="AH36" s="167" t="n">
        <x:f>IF(AG36="",0,1)</x:f>
        <x:v>0</x:v>
      </x:c>
    </x:row>
    <x:row r="37" ht="32" customHeight="1">
      <x:c r="A37" s="27"/>
      <x:c r="B37" s="27"/>
      <x:c r="C37" s="40" t="str">
        <x:f>IF($B37="","",IFERROR(INDEX(Produtos!$B$5:$B$204,MATCH($B37,Produtos!$A$5:$A$204,0)),""))</x:f>
      </x:c>
      <x:c r="D37" s="170"/>
      <x:c r="E37" s="179"/>
      <x:c r="F37" s="179"/>
      <x:c r="G37" s="179"/>
      <x:c r="H37" s="40" t="str">
        <x:f>IF(A37="","",IF(OR(S37&lt;&gt;"",Listas!$B$13&lt;&gt;"OK"),"n.a.",G37-Listas!$B$6))</x:f>
      </x:c>
      <x:c r="I37" s="40"/>
      <x:c r="J37" s="40" t="str">
        <x:f>IF(A37="","",IF(OR(S37&lt;&gt;"",T37&gt;0,Listas!$B$13&lt;&gt;"OK"),"n.a.",SUMIFS(Movimentacoes!$H$5:$H$304,Movimentacoes!$D$5:$D$304,A37,Movimentacoes!$B$5:$B$304,"&lt;="&amp;Listas!$B$6)))</x:f>
      </x:c>
      <x:c r="K37" s="180"/>
      <x:c r="L37" s="181" t="str">
        <x:f>IF(A37="","",IF(OR(U37&gt;0,Listas!$B$13&lt;&gt;"OK"),"n.a.",J37*K37))</x:f>
      </x:c>
      <x:c r="M37" s="27"/>
      <x:c r="N37" s="40" t="str">
        <x:f>IF(A37="","",IF(OR(U37&gt;0,Listas!$B$13&lt;&gt;"OK"),"REVISAR DADOS",IF(J37=0,"SEM SALDO",IF(G37&lt;Listas!$B$6,"VENCIDO",IF(H37&lt;=Listas!$B$7,"CRÍTICO",IF(H37&lt;=Listas!$B$8,"VENCE NA JANELA","OK"))))))</x:f>
      </x:c>
      <x:c r="O37" s="41" t="str">
        <x:f>IF(A37="","",IF(AND(ISNUMBER(V37),V37&gt;0),G37,""))</x:f>
      </x:c>
      <x:c r="P37" s="40" t="str">
        <x:f>IF(A37="","",IF(OR(U37&gt;0,Listas!$B$13&lt;&gt;"OK"),"REVISAR DADOS",IF(J37=0,"ARQUIVAR LOTE",IF(M37="Quarentena","DECIDIR LIBERAÇÃO",IF(M37="Bloqueado","SEGREGAR E INVESTIGAR",IF(M37="Esgotado","REVISAR STATUS COM SALDO",IF(N37="VENCIDO","SEGREGAR E AVALIAR DESTINAÇÃO",IF(OR(N37="CRÍTICO",N37="VENCE NA JANELA"),"PRIORIZAR FEFO","MANTER ROTAÇÃO"))))))))</x:f>
      </x:c>
      <x:c r="Q37" s="27"/>
      <x:c r="R37" s="181" t="str">
        <x:f>IF(A37="","",IF(OR(U37&gt;0,Listas!$B$13&lt;&gt;"OK"),"n.a.",IF(OR(N37="VENCIDO",N37="CRÍTICO",N37="VENCE NA JANELA",M37="Quarentena",M37="Bloqueado"),L37,0)))</x:f>
      </x:c>
      <x:c r="S37" s="163" t="str">
        <x:f>IF(COUNTA(A37:B37,D37:G37,I37,K37,M37,Q37,AB37:AD37)=0,"",IF(OR(A37="",COUNTIFS($A$5:$A$204,A37)&lt;&gt;1),"Lote ausente ou duplicado",IF(OR(B37="",COUNTIFS(Produtos!$A$5:$A$204,B37)&lt;&gt;1),"SKU ausente ou desconhecido",IF(COUNTIFS(Produtos!$A$5:$A$204,B37,Produtos!$R$5:$R$204,1)&gt;0,"Revisar cadastro do produto",IF(OR(NOT(ISNUMBER(E37)),E37&lt;=0,NOT(ISNUMBER(G37)),G37&lt;=0,G37&lt;E37),"Recebimento ou validade inválida",IF(AND(F37&lt;&gt;"",OR(NOT(ISNUMBER(F37)),F37&lt;=0,F37&gt;E37)),"Fabricação inválida ou posterior ao recebimento",IF(OR(NOT(ISNUMBER(K37)),K37&lt;0,NOT(ISNUMBER(I37)),I37&lt;0),"Quantidade recebida ou custo inválido",IF(AND(M37&lt;&gt;"Liberado",M37&lt;&gt;"Quarentena",M37&lt;&gt;"Bloqueado",M37&lt;&gt;"Esgotado"),"Status de lote inválido",""))))))))</x:f>
      </x:c>
      <x:c r="T37" s="163" t="n">
        <x:f>IF(A37="",0,COUNTIFS(Movimentacoes!$D$5:$D$304,A37,Movimentacoes!$P$5:$P$304,1))</x:f>
        <x:v>0</x:v>
      </x:c>
      <x:c r="U37" s="163" t="n">
        <x:f>IF(COUNTA(A37:B37,D37:G37,I37,K37,M37,Q37,AB37:AD37)=0,0,IF(OR(S37&lt;&gt;"",T37&gt;0),1,IF(ISNUMBER(J37),IF(OR(J37&lt;0,AND(J37&gt;0,M37="Esgotado")),1,0),0)))</x:f>
        <x:v>0</x:v>
      </x:c>
      <x:c r="V37" s="163" t="str">
        <x:f>IF(A37="","",IF(OR(U37&gt;0,Listas!$B$13&lt;&gt;"OK"),"n.a.",IF(AND(J37&gt;0,M37="Liberado",G37&gt;=Listas!$B$6),J37,0)))</x:f>
      </x:c>
      <x:c r="W37" s="163" t="str">
        <x:f>IF(A37="","",IF(OR(U37&gt;0,Listas!$B$13&lt;&gt;"OK"),"n.a.",V37*K37))</x:f>
      </x:c>
      <x:c r="X37" s="167" t="n">
        <x:f>IF(COUNTA(A37:B37,D37:G37,I37,K37,M37,Q37,AB37:AD37)=0,0,IF(OR(Listas!$B$19="Todos",B37=Listas!$B$19,COUNTIFS(Produtos!$A$5:$A$204,B37)&lt;&gt;1),1,0))</x:f>
        <x:v>0</x:v>
      </x:c>
      <x:c r="Y37" s="167" t="str">
        <x:f>IF(X37=0,"",IF(Listas!$B$13&lt;&gt;"OK","Revisar parâmetros",IF(U37&gt;0,IF(S37&lt;&gt;"",S37,IF(T37&gt;0,"Revisar movimentos",IF(AND(ISNUMBER(J37),J37&lt;0),"Saldo negativo","Status esgotado com saldo"))),IF(AG37&lt;&gt;"",AG37&amp;". ","")&amp;IF(J37&lt;=0,"",IF(N37="VENCIDO","Validade vencida. ","")&amp;IF(M37="Quarentena","Em quarentena. ","")&amp;IF(M37="Bloqueado","Lote bloqueado. ","")&amp;IF(N37="CRÍTICO","Validade crítica. ","")&amp;IF(N37="VENCE NA JANELA","Vence na janela. ","")))))</x:f>
      </x:c>
      <x:c r="Z37" s="167" t="n">
        <x:f>IF(OR(X37=0,Y37=""),0,IF(OR(Listas!$B$13&lt;&gt;"OK",U37&gt;0,AH37&gt;0),1,IF(N37="VENCIDO",2,IF(OR(M37="Quarentena",M37="Bloqueado"),3,IF(N37="CRÍTICO",4,5)))))</x:f>
        <x:v>0</x:v>
      </x:c>
      <x:c r="AA37" s="167" t="n">
        <x:f>IF(Z37=0,0,COUNTIFS($Z$5:$Z$204,"&gt;0",$Z$5:$Z$204,"&lt;"&amp;Z37,$X$5:$X$204,1)+COUNTIFS($Z$5:Z37,Z37,$X$5:X37,1))</x:f>
        <x:v>0</x:v>
      </x:c>
      <x:c r="AB37" s="168"/>
      <x:c r="AC37" s="168"/>
      <x:c r="AD37" s="169"/>
      <x:c r="AE37" s="167" t="str">
        <x:f>IF(X37=0,"",IF(OR(U37&gt;0,Listas!$B$13&lt;&gt;"OK"),"Dados pendentes",IF(J37&lt;=0,"Sem saldo",IF(N37="VENCIDO","Vencidos",IF(OR(M37="Quarentena",M37="Bloqueado"),"Restritos vigentes",IF(OR(N37="CRÍTICO",N37="VENCE NA JANELA"),"Liberados na janela","Demais liberados"))))))</x:f>
      </x:c>
      <x:c r="AF37" s="167" t="str">
        <x:f>IF(A37&lt;&gt;"",A37,IF(U37&gt;0,"Sem ID (linha "&amp;ROW()&amp;")",""))</x:f>
      </x:c>
      <x:c r="AG37" s="167" t="str">
        <x:f>IF(AD37="","",IF(OR(NOT(ISNUMBER(AD37)),AD37&lt;=0),"Prazo da ação inválido",""))</x:f>
      </x:c>
      <x:c r="AH37" s="167" t="n">
        <x:f>IF(AG37="",0,1)</x:f>
        <x:v>0</x:v>
      </x:c>
    </x:row>
    <x:row r="38" ht="32" customHeight="1">
      <x:c r="A38" s="27"/>
      <x:c r="B38" s="27"/>
      <x:c r="C38" s="40" t="str">
        <x:f>IF($B38="","",IFERROR(INDEX(Produtos!$B$5:$B$204,MATCH($B38,Produtos!$A$5:$A$204,0)),""))</x:f>
      </x:c>
      <x:c r="D38" s="170"/>
      <x:c r="E38" s="179"/>
      <x:c r="F38" s="179"/>
      <x:c r="G38" s="179"/>
      <x:c r="H38" s="40" t="str">
        <x:f>IF(A38="","",IF(OR(S38&lt;&gt;"",Listas!$B$13&lt;&gt;"OK"),"n.a.",G38-Listas!$B$6))</x:f>
      </x:c>
      <x:c r="I38" s="40"/>
      <x:c r="J38" s="40" t="str">
        <x:f>IF(A38="","",IF(OR(S38&lt;&gt;"",T38&gt;0,Listas!$B$13&lt;&gt;"OK"),"n.a.",SUMIFS(Movimentacoes!$H$5:$H$304,Movimentacoes!$D$5:$D$304,A38,Movimentacoes!$B$5:$B$304,"&lt;="&amp;Listas!$B$6)))</x:f>
      </x:c>
      <x:c r="K38" s="180"/>
      <x:c r="L38" s="181" t="str">
        <x:f>IF(A38="","",IF(OR(U38&gt;0,Listas!$B$13&lt;&gt;"OK"),"n.a.",J38*K38))</x:f>
      </x:c>
      <x:c r="M38" s="27"/>
      <x:c r="N38" s="40" t="str">
        <x:f>IF(A38="","",IF(OR(U38&gt;0,Listas!$B$13&lt;&gt;"OK"),"REVISAR DADOS",IF(J38=0,"SEM SALDO",IF(G38&lt;Listas!$B$6,"VENCIDO",IF(H38&lt;=Listas!$B$7,"CRÍTICO",IF(H38&lt;=Listas!$B$8,"VENCE NA JANELA","OK"))))))</x:f>
      </x:c>
      <x:c r="O38" s="41" t="str">
        <x:f>IF(A38="","",IF(AND(ISNUMBER(V38),V38&gt;0),G38,""))</x:f>
      </x:c>
      <x:c r="P38" s="40" t="str">
        <x:f>IF(A38="","",IF(OR(U38&gt;0,Listas!$B$13&lt;&gt;"OK"),"REVISAR DADOS",IF(J38=0,"ARQUIVAR LOTE",IF(M38="Quarentena","DECIDIR LIBERAÇÃO",IF(M38="Bloqueado","SEGREGAR E INVESTIGAR",IF(M38="Esgotado","REVISAR STATUS COM SALDO",IF(N38="VENCIDO","SEGREGAR E AVALIAR DESTINAÇÃO",IF(OR(N38="CRÍTICO",N38="VENCE NA JANELA"),"PRIORIZAR FEFO","MANTER ROTAÇÃO"))))))))</x:f>
      </x:c>
      <x:c r="Q38" s="27"/>
      <x:c r="R38" s="181" t="str">
        <x:f>IF(A38="","",IF(OR(U38&gt;0,Listas!$B$13&lt;&gt;"OK"),"n.a.",IF(OR(N38="VENCIDO",N38="CRÍTICO",N38="VENCE NA JANELA",M38="Quarentena",M38="Bloqueado"),L38,0)))</x:f>
      </x:c>
      <x:c r="S38" s="163" t="str">
        <x:f>IF(COUNTA(A38:B38,D38:G38,I38,K38,M38,Q38,AB38:AD38)=0,"",IF(OR(A38="",COUNTIFS($A$5:$A$204,A38)&lt;&gt;1),"Lote ausente ou duplicado",IF(OR(B38="",COUNTIFS(Produtos!$A$5:$A$204,B38)&lt;&gt;1),"SKU ausente ou desconhecido",IF(COUNTIFS(Produtos!$A$5:$A$204,B38,Produtos!$R$5:$R$204,1)&gt;0,"Revisar cadastro do produto",IF(OR(NOT(ISNUMBER(E38)),E38&lt;=0,NOT(ISNUMBER(G38)),G38&lt;=0,G38&lt;E38),"Recebimento ou validade inválida",IF(AND(F38&lt;&gt;"",OR(NOT(ISNUMBER(F38)),F38&lt;=0,F38&gt;E38)),"Fabricação inválida ou posterior ao recebimento",IF(OR(NOT(ISNUMBER(K38)),K38&lt;0,NOT(ISNUMBER(I38)),I38&lt;0),"Quantidade recebida ou custo inválido",IF(AND(M38&lt;&gt;"Liberado",M38&lt;&gt;"Quarentena",M38&lt;&gt;"Bloqueado",M38&lt;&gt;"Esgotado"),"Status de lote inválido",""))))))))</x:f>
      </x:c>
      <x:c r="T38" s="163" t="n">
        <x:f>IF(A38="",0,COUNTIFS(Movimentacoes!$D$5:$D$304,A38,Movimentacoes!$P$5:$P$304,1))</x:f>
        <x:v>0</x:v>
      </x:c>
      <x:c r="U38" s="163" t="n">
        <x:f>IF(COUNTA(A38:B38,D38:G38,I38,K38,M38,Q38,AB38:AD38)=0,0,IF(OR(S38&lt;&gt;"",T38&gt;0),1,IF(ISNUMBER(J38),IF(OR(J38&lt;0,AND(J38&gt;0,M38="Esgotado")),1,0),0)))</x:f>
        <x:v>0</x:v>
      </x:c>
      <x:c r="V38" s="163" t="str">
        <x:f>IF(A38="","",IF(OR(U38&gt;0,Listas!$B$13&lt;&gt;"OK"),"n.a.",IF(AND(J38&gt;0,M38="Liberado",G38&gt;=Listas!$B$6),J38,0)))</x:f>
      </x:c>
      <x:c r="W38" s="163" t="str">
        <x:f>IF(A38="","",IF(OR(U38&gt;0,Listas!$B$13&lt;&gt;"OK"),"n.a.",V38*K38))</x:f>
      </x:c>
      <x:c r="X38" s="167" t="n">
        <x:f>IF(COUNTA(A38:B38,D38:G38,I38,K38,M38,Q38,AB38:AD38)=0,0,IF(OR(Listas!$B$19="Todos",B38=Listas!$B$19,COUNTIFS(Produtos!$A$5:$A$204,B38)&lt;&gt;1),1,0))</x:f>
        <x:v>0</x:v>
      </x:c>
      <x:c r="Y38" s="167" t="str">
        <x:f>IF(X38=0,"",IF(Listas!$B$13&lt;&gt;"OK","Revisar parâmetros",IF(U38&gt;0,IF(S38&lt;&gt;"",S38,IF(T38&gt;0,"Revisar movimentos",IF(AND(ISNUMBER(J38),J38&lt;0),"Saldo negativo","Status esgotado com saldo"))),IF(AG38&lt;&gt;"",AG38&amp;". ","")&amp;IF(J38&lt;=0,"",IF(N38="VENCIDO","Validade vencida. ","")&amp;IF(M38="Quarentena","Em quarentena. ","")&amp;IF(M38="Bloqueado","Lote bloqueado. ","")&amp;IF(N38="CRÍTICO","Validade crítica. ","")&amp;IF(N38="VENCE NA JANELA","Vence na janela. ","")))))</x:f>
      </x:c>
      <x:c r="Z38" s="167" t="n">
        <x:f>IF(OR(X38=0,Y38=""),0,IF(OR(Listas!$B$13&lt;&gt;"OK",U38&gt;0,AH38&gt;0),1,IF(N38="VENCIDO",2,IF(OR(M38="Quarentena",M38="Bloqueado"),3,IF(N38="CRÍTICO",4,5)))))</x:f>
        <x:v>0</x:v>
      </x:c>
      <x:c r="AA38" s="167" t="n">
        <x:f>IF(Z38=0,0,COUNTIFS($Z$5:$Z$204,"&gt;0",$Z$5:$Z$204,"&lt;"&amp;Z38,$X$5:$X$204,1)+COUNTIFS($Z$5:Z38,Z38,$X$5:X38,1))</x:f>
        <x:v>0</x:v>
      </x:c>
      <x:c r="AB38" s="168"/>
      <x:c r="AC38" s="168"/>
      <x:c r="AD38" s="169"/>
      <x:c r="AE38" s="167" t="str">
        <x:f>IF(X38=0,"",IF(OR(U38&gt;0,Listas!$B$13&lt;&gt;"OK"),"Dados pendentes",IF(J38&lt;=0,"Sem saldo",IF(N38="VENCIDO","Vencidos",IF(OR(M38="Quarentena",M38="Bloqueado"),"Restritos vigentes",IF(OR(N38="CRÍTICO",N38="VENCE NA JANELA"),"Liberados na janela","Demais liberados"))))))</x:f>
      </x:c>
      <x:c r="AF38" s="167" t="str">
        <x:f>IF(A38&lt;&gt;"",A38,IF(U38&gt;0,"Sem ID (linha "&amp;ROW()&amp;")",""))</x:f>
      </x:c>
      <x:c r="AG38" s="167" t="str">
        <x:f>IF(AD38="","",IF(OR(NOT(ISNUMBER(AD38)),AD38&lt;=0),"Prazo da ação inválido",""))</x:f>
      </x:c>
      <x:c r="AH38" s="167" t="n">
        <x:f>IF(AG38="",0,1)</x:f>
        <x:v>0</x:v>
      </x:c>
    </x:row>
    <x:row r="39" ht="32" customHeight="1">
      <x:c r="A39" s="27"/>
      <x:c r="B39" s="27"/>
      <x:c r="C39" s="40" t="str">
        <x:f>IF($B39="","",IFERROR(INDEX(Produtos!$B$5:$B$204,MATCH($B39,Produtos!$A$5:$A$204,0)),""))</x:f>
      </x:c>
      <x:c r="D39" s="170"/>
      <x:c r="E39" s="179"/>
      <x:c r="F39" s="179"/>
      <x:c r="G39" s="179"/>
      <x:c r="H39" s="40" t="str">
        <x:f>IF(A39="","",IF(OR(S39&lt;&gt;"",Listas!$B$13&lt;&gt;"OK"),"n.a.",G39-Listas!$B$6))</x:f>
      </x:c>
      <x:c r="I39" s="40"/>
      <x:c r="J39" s="40" t="str">
        <x:f>IF(A39="","",IF(OR(S39&lt;&gt;"",T39&gt;0,Listas!$B$13&lt;&gt;"OK"),"n.a.",SUMIFS(Movimentacoes!$H$5:$H$304,Movimentacoes!$D$5:$D$304,A39,Movimentacoes!$B$5:$B$304,"&lt;="&amp;Listas!$B$6)))</x:f>
      </x:c>
      <x:c r="K39" s="180"/>
      <x:c r="L39" s="181" t="str">
        <x:f>IF(A39="","",IF(OR(U39&gt;0,Listas!$B$13&lt;&gt;"OK"),"n.a.",J39*K39))</x:f>
      </x:c>
      <x:c r="M39" s="27"/>
      <x:c r="N39" s="40" t="str">
        <x:f>IF(A39="","",IF(OR(U39&gt;0,Listas!$B$13&lt;&gt;"OK"),"REVISAR DADOS",IF(J39=0,"SEM SALDO",IF(G39&lt;Listas!$B$6,"VENCIDO",IF(H39&lt;=Listas!$B$7,"CRÍTICO",IF(H39&lt;=Listas!$B$8,"VENCE NA JANELA","OK"))))))</x:f>
      </x:c>
      <x:c r="O39" s="41" t="str">
        <x:f>IF(A39="","",IF(AND(ISNUMBER(V39),V39&gt;0),G39,""))</x:f>
      </x:c>
      <x:c r="P39" s="40" t="str">
        <x:f>IF(A39="","",IF(OR(U39&gt;0,Listas!$B$13&lt;&gt;"OK"),"REVISAR DADOS",IF(J39=0,"ARQUIVAR LOTE",IF(M39="Quarentena","DECIDIR LIBERAÇÃO",IF(M39="Bloqueado","SEGREGAR E INVESTIGAR",IF(M39="Esgotado","REVISAR STATUS COM SALDO",IF(N39="VENCIDO","SEGREGAR E AVALIAR DESTINAÇÃO",IF(OR(N39="CRÍTICO",N39="VENCE NA JANELA"),"PRIORIZAR FEFO","MANTER ROTAÇÃO"))))))))</x:f>
      </x:c>
      <x:c r="Q39" s="27"/>
      <x:c r="R39" s="181" t="str">
        <x:f>IF(A39="","",IF(OR(U39&gt;0,Listas!$B$13&lt;&gt;"OK"),"n.a.",IF(OR(N39="VENCIDO",N39="CRÍTICO",N39="VENCE NA JANELA",M39="Quarentena",M39="Bloqueado"),L39,0)))</x:f>
      </x:c>
      <x:c r="S39" s="163" t="str">
        <x:f>IF(COUNTA(A39:B39,D39:G39,I39,K39,M39,Q39,AB39:AD39)=0,"",IF(OR(A39="",COUNTIFS($A$5:$A$204,A39)&lt;&gt;1),"Lote ausente ou duplicado",IF(OR(B39="",COUNTIFS(Produtos!$A$5:$A$204,B39)&lt;&gt;1),"SKU ausente ou desconhecido",IF(COUNTIFS(Produtos!$A$5:$A$204,B39,Produtos!$R$5:$R$204,1)&gt;0,"Revisar cadastro do produto",IF(OR(NOT(ISNUMBER(E39)),E39&lt;=0,NOT(ISNUMBER(G39)),G39&lt;=0,G39&lt;E39),"Recebimento ou validade inválida",IF(AND(F39&lt;&gt;"",OR(NOT(ISNUMBER(F39)),F39&lt;=0,F39&gt;E39)),"Fabricação inválida ou posterior ao recebimento",IF(OR(NOT(ISNUMBER(K39)),K39&lt;0,NOT(ISNUMBER(I39)),I39&lt;0),"Quantidade recebida ou custo inválido",IF(AND(M39&lt;&gt;"Liberado",M39&lt;&gt;"Quarentena",M39&lt;&gt;"Bloqueado",M39&lt;&gt;"Esgotado"),"Status de lote inválido",""))))))))</x:f>
      </x:c>
      <x:c r="T39" s="163" t="n">
        <x:f>IF(A39="",0,COUNTIFS(Movimentacoes!$D$5:$D$304,A39,Movimentacoes!$P$5:$P$304,1))</x:f>
        <x:v>0</x:v>
      </x:c>
      <x:c r="U39" s="163" t="n">
        <x:f>IF(COUNTA(A39:B39,D39:G39,I39,K39,M39,Q39,AB39:AD39)=0,0,IF(OR(S39&lt;&gt;"",T39&gt;0),1,IF(ISNUMBER(J39),IF(OR(J39&lt;0,AND(J39&gt;0,M39="Esgotado")),1,0),0)))</x:f>
        <x:v>0</x:v>
      </x:c>
      <x:c r="V39" s="163" t="str">
        <x:f>IF(A39="","",IF(OR(U39&gt;0,Listas!$B$13&lt;&gt;"OK"),"n.a.",IF(AND(J39&gt;0,M39="Liberado",G39&gt;=Listas!$B$6),J39,0)))</x:f>
      </x:c>
      <x:c r="W39" s="163" t="str">
        <x:f>IF(A39="","",IF(OR(U39&gt;0,Listas!$B$13&lt;&gt;"OK"),"n.a.",V39*K39))</x:f>
      </x:c>
      <x:c r="X39" s="167" t="n">
        <x:f>IF(COUNTA(A39:B39,D39:G39,I39,K39,M39,Q39,AB39:AD39)=0,0,IF(OR(Listas!$B$19="Todos",B39=Listas!$B$19,COUNTIFS(Produtos!$A$5:$A$204,B39)&lt;&gt;1),1,0))</x:f>
        <x:v>0</x:v>
      </x:c>
      <x:c r="Y39" s="167" t="str">
        <x:f>IF(X39=0,"",IF(Listas!$B$13&lt;&gt;"OK","Revisar parâmetros",IF(U39&gt;0,IF(S39&lt;&gt;"",S39,IF(T39&gt;0,"Revisar movimentos",IF(AND(ISNUMBER(J39),J39&lt;0),"Saldo negativo","Status esgotado com saldo"))),IF(AG39&lt;&gt;"",AG39&amp;". ","")&amp;IF(J39&lt;=0,"",IF(N39="VENCIDO","Validade vencida. ","")&amp;IF(M39="Quarentena","Em quarentena. ","")&amp;IF(M39="Bloqueado","Lote bloqueado. ","")&amp;IF(N39="CRÍTICO","Validade crítica. ","")&amp;IF(N39="VENCE NA JANELA","Vence na janela. ","")))))</x:f>
      </x:c>
      <x:c r="Z39" s="167" t="n">
        <x:f>IF(OR(X39=0,Y39=""),0,IF(OR(Listas!$B$13&lt;&gt;"OK",U39&gt;0,AH39&gt;0),1,IF(N39="VENCIDO",2,IF(OR(M39="Quarentena",M39="Bloqueado"),3,IF(N39="CRÍTICO",4,5)))))</x:f>
        <x:v>0</x:v>
      </x:c>
      <x:c r="AA39" s="167" t="n">
        <x:f>IF(Z39=0,0,COUNTIFS($Z$5:$Z$204,"&gt;0",$Z$5:$Z$204,"&lt;"&amp;Z39,$X$5:$X$204,1)+COUNTIFS($Z$5:Z39,Z39,$X$5:X39,1))</x:f>
        <x:v>0</x:v>
      </x:c>
      <x:c r="AB39" s="168"/>
      <x:c r="AC39" s="168"/>
      <x:c r="AD39" s="169"/>
      <x:c r="AE39" s="167" t="str">
        <x:f>IF(X39=0,"",IF(OR(U39&gt;0,Listas!$B$13&lt;&gt;"OK"),"Dados pendentes",IF(J39&lt;=0,"Sem saldo",IF(N39="VENCIDO","Vencidos",IF(OR(M39="Quarentena",M39="Bloqueado"),"Restritos vigentes",IF(OR(N39="CRÍTICO",N39="VENCE NA JANELA"),"Liberados na janela","Demais liberados"))))))</x:f>
      </x:c>
      <x:c r="AF39" s="167" t="str">
        <x:f>IF(A39&lt;&gt;"",A39,IF(U39&gt;0,"Sem ID (linha "&amp;ROW()&amp;")",""))</x:f>
      </x:c>
      <x:c r="AG39" s="167" t="str">
        <x:f>IF(AD39="","",IF(OR(NOT(ISNUMBER(AD39)),AD39&lt;=0),"Prazo da ação inválido",""))</x:f>
      </x:c>
      <x:c r="AH39" s="167" t="n">
        <x:f>IF(AG39="",0,1)</x:f>
        <x:v>0</x:v>
      </x:c>
    </x:row>
    <x:row r="40" ht="32" customHeight="1">
      <x:c r="A40" s="27"/>
      <x:c r="B40" s="27"/>
      <x:c r="C40" s="40" t="str">
        <x:f>IF($B40="","",IFERROR(INDEX(Produtos!$B$5:$B$204,MATCH($B40,Produtos!$A$5:$A$204,0)),""))</x:f>
      </x:c>
      <x:c r="D40" s="170"/>
      <x:c r="E40" s="179"/>
      <x:c r="F40" s="179"/>
      <x:c r="G40" s="179"/>
      <x:c r="H40" s="40" t="str">
        <x:f>IF(A40="","",IF(OR(S40&lt;&gt;"",Listas!$B$13&lt;&gt;"OK"),"n.a.",G40-Listas!$B$6))</x:f>
      </x:c>
      <x:c r="I40" s="40"/>
      <x:c r="J40" s="40" t="str">
        <x:f>IF(A40="","",IF(OR(S40&lt;&gt;"",T40&gt;0,Listas!$B$13&lt;&gt;"OK"),"n.a.",SUMIFS(Movimentacoes!$H$5:$H$304,Movimentacoes!$D$5:$D$304,A40,Movimentacoes!$B$5:$B$304,"&lt;="&amp;Listas!$B$6)))</x:f>
      </x:c>
      <x:c r="K40" s="180"/>
      <x:c r="L40" s="181" t="str">
        <x:f>IF(A40="","",IF(OR(U40&gt;0,Listas!$B$13&lt;&gt;"OK"),"n.a.",J40*K40))</x:f>
      </x:c>
      <x:c r="M40" s="27"/>
      <x:c r="N40" s="40" t="str">
        <x:f>IF(A40="","",IF(OR(U40&gt;0,Listas!$B$13&lt;&gt;"OK"),"REVISAR DADOS",IF(J40=0,"SEM SALDO",IF(G40&lt;Listas!$B$6,"VENCIDO",IF(H40&lt;=Listas!$B$7,"CRÍTICO",IF(H40&lt;=Listas!$B$8,"VENCE NA JANELA","OK"))))))</x:f>
      </x:c>
      <x:c r="O40" s="41" t="str">
        <x:f>IF(A40="","",IF(AND(ISNUMBER(V40),V40&gt;0),G40,""))</x:f>
      </x:c>
      <x:c r="P40" s="40" t="str">
        <x:f>IF(A40="","",IF(OR(U40&gt;0,Listas!$B$13&lt;&gt;"OK"),"REVISAR DADOS",IF(J40=0,"ARQUIVAR LOTE",IF(M40="Quarentena","DECIDIR LIBERAÇÃO",IF(M40="Bloqueado","SEGREGAR E INVESTIGAR",IF(M40="Esgotado","REVISAR STATUS COM SALDO",IF(N40="VENCIDO","SEGREGAR E AVALIAR DESTINAÇÃO",IF(OR(N40="CRÍTICO",N40="VENCE NA JANELA"),"PRIORIZAR FEFO","MANTER ROTAÇÃO"))))))))</x:f>
      </x:c>
      <x:c r="Q40" s="27"/>
      <x:c r="R40" s="181" t="str">
        <x:f>IF(A40="","",IF(OR(U40&gt;0,Listas!$B$13&lt;&gt;"OK"),"n.a.",IF(OR(N40="VENCIDO",N40="CRÍTICO",N40="VENCE NA JANELA",M40="Quarentena",M40="Bloqueado"),L40,0)))</x:f>
      </x:c>
      <x:c r="S40" s="163" t="str">
        <x:f>IF(COUNTA(A40:B40,D40:G40,I40,K40,M40,Q40,AB40:AD40)=0,"",IF(OR(A40="",COUNTIFS($A$5:$A$204,A40)&lt;&gt;1),"Lote ausente ou duplicado",IF(OR(B40="",COUNTIFS(Produtos!$A$5:$A$204,B40)&lt;&gt;1),"SKU ausente ou desconhecido",IF(COUNTIFS(Produtos!$A$5:$A$204,B40,Produtos!$R$5:$R$204,1)&gt;0,"Revisar cadastro do produto",IF(OR(NOT(ISNUMBER(E40)),E40&lt;=0,NOT(ISNUMBER(G40)),G40&lt;=0,G40&lt;E40),"Recebimento ou validade inválida",IF(AND(F40&lt;&gt;"",OR(NOT(ISNUMBER(F40)),F40&lt;=0,F40&gt;E40)),"Fabricação inválida ou posterior ao recebimento",IF(OR(NOT(ISNUMBER(K40)),K40&lt;0,NOT(ISNUMBER(I40)),I40&lt;0),"Quantidade recebida ou custo inválido",IF(AND(M40&lt;&gt;"Liberado",M40&lt;&gt;"Quarentena",M40&lt;&gt;"Bloqueado",M40&lt;&gt;"Esgotado"),"Status de lote inválido",""))))))))</x:f>
      </x:c>
      <x:c r="T40" s="163" t="n">
        <x:f>IF(A40="",0,COUNTIFS(Movimentacoes!$D$5:$D$304,A40,Movimentacoes!$P$5:$P$304,1))</x:f>
        <x:v>0</x:v>
      </x:c>
      <x:c r="U40" s="163" t="n">
        <x:f>IF(COUNTA(A40:B40,D40:G40,I40,K40,M40,Q40,AB40:AD40)=0,0,IF(OR(S40&lt;&gt;"",T40&gt;0),1,IF(ISNUMBER(J40),IF(OR(J40&lt;0,AND(J40&gt;0,M40="Esgotado")),1,0),0)))</x:f>
        <x:v>0</x:v>
      </x:c>
      <x:c r="V40" s="163" t="str">
        <x:f>IF(A40="","",IF(OR(U40&gt;0,Listas!$B$13&lt;&gt;"OK"),"n.a.",IF(AND(J40&gt;0,M40="Liberado",G40&gt;=Listas!$B$6),J40,0)))</x:f>
      </x:c>
      <x:c r="W40" s="163" t="str">
        <x:f>IF(A40="","",IF(OR(U40&gt;0,Listas!$B$13&lt;&gt;"OK"),"n.a.",V40*K40))</x:f>
      </x:c>
      <x:c r="X40" s="167" t="n">
        <x:f>IF(COUNTA(A40:B40,D40:G40,I40,K40,M40,Q40,AB40:AD40)=0,0,IF(OR(Listas!$B$19="Todos",B40=Listas!$B$19,COUNTIFS(Produtos!$A$5:$A$204,B40)&lt;&gt;1),1,0))</x:f>
        <x:v>0</x:v>
      </x:c>
      <x:c r="Y40" s="167" t="str">
        <x:f>IF(X40=0,"",IF(Listas!$B$13&lt;&gt;"OK","Revisar parâmetros",IF(U40&gt;0,IF(S40&lt;&gt;"",S40,IF(T40&gt;0,"Revisar movimentos",IF(AND(ISNUMBER(J40),J40&lt;0),"Saldo negativo","Status esgotado com saldo"))),IF(AG40&lt;&gt;"",AG40&amp;". ","")&amp;IF(J40&lt;=0,"",IF(N40="VENCIDO","Validade vencida. ","")&amp;IF(M40="Quarentena","Em quarentena. ","")&amp;IF(M40="Bloqueado","Lote bloqueado. ","")&amp;IF(N40="CRÍTICO","Validade crítica. ","")&amp;IF(N40="VENCE NA JANELA","Vence na janela. ","")))))</x:f>
      </x:c>
      <x:c r="Z40" s="167" t="n">
        <x:f>IF(OR(X40=0,Y40=""),0,IF(OR(Listas!$B$13&lt;&gt;"OK",U40&gt;0,AH40&gt;0),1,IF(N40="VENCIDO",2,IF(OR(M40="Quarentena",M40="Bloqueado"),3,IF(N40="CRÍTICO",4,5)))))</x:f>
        <x:v>0</x:v>
      </x:c>
      <x:c r="AA40" s="167" t="n">
        <x:f>IF(Z40=0,0,COUNTIFS($Z$5:$Z$204,"&gt;0",$Z$5:$Z$204,"&lt;"&amp;Z40,$X$5:$X$204,1)+COUNTIFS($Z$5:Z40,Z40,$X$5:X40,1))</x:f>
        <x:v>0</x:v>
      </x:c>
      <x:c r="AB40" s="168"/>
      <x:c r="AC40" s="168"/>
      <x:c r="AD40" s="169"/>
      <x:c r="AE40" s="167" t="str">
        <x:f>IF(X40=0,"",IF(OR(U40&gt;0,Listas!$B$13&lt;&gt;"OK"),"Dados pendentes",IF(J40&lt;=0,"Sem saldo",IF(N40="VENCIDO","Vencidos",IF(OR(M40="Quarentena",M40="Bloqueado"),"Restritos vigentes",IF(OR(N40="CRÍTICO",N40="VENCE NA JANELA"),"Liberados na janela","Demais liberados"))))))</x:f>
      </x:c>
      <x:c r="AF40" s="167" t="str">
        <x:f>IF(A40&lt;&gt;"",A40,IF(U40&gt;0,"Sem ID (linha "&amp;ROW()&amp;")",""))</x:f>
      </x:c>
      <x:c r="AG40" s="167" t="str">
        <x:f>IF(AD40="","",IF(OR(NOT(ISNUMBER(AD40)),AD40&lt;=0),"Prazo da ação inválido",""))</x:f>
      </x:c>
      <x:c r="AH40" s="167" t="n">
        <x:f>IF(AG40="",0,1)</x:f>
        <x:v>0</x:v>
      </x:c>
    </x:row>
    <x:row r="41" ht="32" customHeight="1">
      <x:c r="A41" s="27"/>
      <x:c r="B41" s="27"/>
      <x:c r="C41" s="40" t="str">
        <x:f>IF($B41="","",IFERROR(INDEX(Produtos!$B$5:$B$204,MATCH($B41,Produtos!$A$5:$A$204,0)),""))</x:f>
      </x:c>
      <x:c r="D41" s="170"/>
      <x:c r="E41" s="179"/>
      <x:c r="F41" s="179"/>
      <x:c r="G41" s="179"/>
      <x:c r="H41" s="40" t="str">
        <x:f>IF(A41="","",IF(OR(S41&lt;&gt;"",Listas!$B$13&lt;&gt;"OK"),"n.a.",G41-Listas!$B$6))</x:f>
      </x:c>
      <x:c r="I41" s="40"/>
      <x:c r="J41" s="40" t="str">
        <x:f>IF(A41="","",IF(OR(S41&lt;&gt;"",T41&gt;0,Listas!$B$13&lt;&gt;"OK"),"n.a.",SUMIFS(Movimentacoes!$H$5:$H$304,Movimentacoes!$D$5:$D$304,A41,Movimentacoes!$B$5:$B$304,"&lt;="&amp;Listas!$B$6)))</x:f>
      </x:c>
      <x:c r="K41" s="180"/>
      <x:c r="L41" s="181" t="str">
        <x:f>IF(A41="","",IF(OR(U41&gt;0,Listas!$B$13&lt;&gt;"OK"),"n.a.",J41*K41))</x:f>
      </x:c>
      <x:c r="M41" s="27"/>
      <x:c r="N41" s="40" t="str">
        <x:f>IF(A41="","",IF(OR(U41&gt;0,Listas!$B$13&lt;&gt;"OK"),"REVISAR DADOS",IF(J41=0,"SEM SALDO",IF(G41&lt;Listas!$B$6,"VENCIDO",IF(H41&lt;=Listas!$B$7,"CRÍTICO",IF(H41&lt;=Listas!$B$8,"VENCE NA JANELA","OK"))))))</x:f>
      </x:c>
      <x:c r="O41" s="41" t="str">
        <x:f>IF(A41="","",IF(AND(ISNUMBER(V41),V41&gt;0),G41,""))</x:f>
      </x:c>
      <x:c r="P41" s="40" t="str">
        <x:f>IF(A41="","",IF(OR(U41&gt;0,Listas!$B$13&lt;&gt;"OK"),"REVISAR DADOS",IF(J41=0,"ARQUIVAR LOTE",IF(M41="Quarentena","DECIDIR LIBERAÇÃO",IF(M41="Bloqueado","SEGREGAR E INVESTIGAR",IF(M41="Esgotado","REVISAR STATUS COM SALDO",IF(N41="VENCIDO","SEGREGAR E AVALIAR DESTINAÇÃO",IF(OR(N41="CRÍTICO",N41="VENCE NA JANELA"),"PRIORIZAR FEFO","MANTER ROTAÇÃO"))))))))</x:f>
      </x:c>
      <x:c r="Q41" s="27"/>
      <x:c r="R41" s="181" t="str">
        <x:f>IF(A41="","",IF(OR(U41&gt;0,Listas!$B$13&lt;&gt;"OK"),"n.a.",IF(OR(N41="VENCIDO",N41="CRÍTICO",N41="VENCE NA JANELA",M41="Quarentena",M41="Bloqueado"),L41,0)))</x:f>
      </x:c>
      <x:c r="S41" s="163" t="str">
        <x:f>IF(COUNTA(A41:B41,D41:G41,I41,K41,M41,Q41,AB41:AD41)=0,"",IF(OR(A41="",COUNTIFS($A$5:$A$204,A41)&lt;&gt;1),"Lote ausente ou duplicado",IF(OR(B41="",COUNTIFS(Produtos!$A$5:$A$204,B41)&lt;&gt;1),"SKU ausente ou desconhecido",IF(COUNTIFS(Produtos!$A$5:$A$204,B41,Produtos!$R$5:$R$204,1)&gt;0,"Revisar cadastro do produto",IF(OR(NOT(ISNUMBER(E41)),E41&lt;=0,NOT(ISNUMBER(G41)),G41&lt;=0,G41&lt;E41),"Recebimento ou validade inválida",IF(AND(F41&lt;&gt;"",OR(NOT(ISNUMBER(F41)),F41&lt;=0,F41&gt;E41)),"Fabricação inválida ou posterior ao recebimento",IF(OR(NOT(ISNUMBER(K41)),K41&lt;0,NOT(ISNUMBER(I41)),I41&lt;0),"Quantidade recebida ou custo inválido",IF(AND(M41&lt;&gt;"Liberado",M41&lt;&gt;"Quarentena",M41&lt;&gt;"Bloqueado",M41&lt;&gt;"Esgotado"),"Status de lote inválido",""))))))))</x:f>
      </x:c>
      <x:c r="T41" s="163" t="n">
        <x:f>IF(A41="",0,COUNTIFS(Movimentacoes!$D$5:$D$304,A41,Movimentacoes!$P$5:$P$304,1))</x:f>
        <x:v>0</x:v>
      </x:c>
      <x:c r="U41" s="163" t="n">
        <x:f>IF(COUNTA(A41:B41,D41:G41,I41,K41,M41,Q41,AB41:AD41)=0,0,IF(OR(S41&lt;&gt;"",T41&gt;0),1,IF(ISNUMBER(J41),IF(OR(J41&lt;0,AND(J41&gt;0,M41="Esgotado")),1,0),0)))</x:f>
        <x:v>0</x:v>
      </x:c>
      <x:c r="V41" s="163" t="str">
        <x:f>IF(A41="","",IF(OR(U41&gt;0,Listas!$B$13&lt;&gt;"OK"),"n.a.",IF(AND(J41&gt;0,M41="Liberado",G41&gt;=Listas!$B$6),J41,0)))</x:f>
      </x:c>
      <x:c r="W41" s="163" t="str">
        <x:f>IF(A41="","",IF(OR(U41&gt;0,Listas!$B$13&lt;&gt;"OK"),"n.a.",V41*K41))</x:f>
      </x:c>
      <x:c r="X41" s="167" t="n">
        <x:f>IF(COUNTA(A41:B41,D41:G41,I41,K41,M41,Q41,AB41:AD41)=0,0,IF(OR(Listas!$B$19="Todos",B41=Listas!$B$19,COUNTIFS(Produtos!$A$5:$A$204,B41)&lt;&gt;1),1,0))</x:f>
        <x:v>0</x:v>
      </x:c>
      <x:c r="Y41" s="167" t="str">
        <x:f>IF(X41=0,"",IF(Listas!$B$13&lt;&gt;"OK","Revisar parâmetros",IF(U41&gt;0,IF(S41&lt;&gt;"",S41,IF(T41&gt;0,"Revisar movimentos",IF(AND(ISNUMBER(J41),J41&lt;0),"Saldo negativo","Status esgotado com saldo"))),IF(AG41&lt;&gt;"",AG41&amp;". ","")&amp;IF(J41&lt;=0,"",IF(N41="VENCIDO","Validade vencida. ","")&amp;IF(M41="Quarentena","Em quarentena. ","")&amp;IF(M41="Bloqueado","Lote bloqueado. ","")&amp;IF(N41="CRÍTICO","Validade crítica. ","")&amp;IF(N41="VENCE NA JANELA","Vence na janela. ","")))))</x:f>
      </x:c>
      <x:c r="Z41" s="167" t="n">
        <x:f>IF(OR(X41=0,Y41=""),0,IF(OR(Listas!$B$13&lt;&gt;"OK",U41&gt;0,AH41&gt;0),1,IF(N41="VENCIDO",2,IF(OR(M41="Quarentena",M41="Bloqueado"),3,IF(N41="CRÍTICO",4,5)))))</x:f>
        <x:v>0</x:v>
      </x:c>
      <x:c r="AA41" s="167" t="n">
        <x:f>IF(Z41=0,0,COUNTIFS($Z$5:$Z$204,"&gt;0",$Z$5:$Z$204,"&lt;"&amp;Z41,$X$5:$X$204,1)+COUNTIFS($Z$5:Z41,Z41,$X$5:X41,1))</x:f>
        <x:v>0</x:v>
      </x:c>
      <x:c r="AB41" s="168"/>
      <x:c r="AC41" s="168"/>
      <x:c r="AD41" s="169"/>
      <x:c r="AE41" s="167" t="str">
        <x:f>IF(X41=0,"",IF(OR(U41&gt;0,Listas!$B$13&lt;&gt;"OK"),"Dados pendentes",IF(J41&lt;=0,"Sem saldo",IF(N41="VENCIDO","Vencidos",IF(OR(M41="Quarentena",M41="Bloqueado"),"Restritos vigentes",IF(OR(N41="CRÍTICO",N41="VENCE NA JANELA"),"Liberados na janela","Demais liberados"))))))</x:f>
      </x:c>
      <x:c r="AF41" s="167" t="str">
        <x:f>IF(A41&lt;&gt;"",A41,IF(U41&gt;0,"Sem ID (linha "&amp;ROW()&amp;")",""))</x:f>
      </x:c>
      <x:c r="AG41" s="167" t="str">
        <x:f>IF(AD41="","",IF(OR(NOT(ISNUMBER(AD41)),AD41&lt;=0),"Prazo da ação inválido",""))</x:f>
      </x:c>
      <x:c r="AH41" s="167" t="n">
        <x:f>IF(AG41="",0,1)</x:f>
        <x:v>0</x:v>
      </x:c>
    </x:row>
    <x:row r="42" ht="32" customHeight="1">
      <x:c r="A42" s="27"/>
      <x:c r="B42" s="27"/>
      <x:c r="C42" s="40" t="str">
        <x:f>IF($B42="","",IFERROR(INDEX(Produtos!$B$5:$B$204,MATCH($B42,Produtos!$A$5:$A$204,0)),""))</x:f>
      </x:c>
      <x:c r="D42" s="170"/>
      <x:c r="E42" s="179"/>
      <x:c r="F42" s="179"/>
      <x:c r="G42" s="179"/>
      <x:c r="H42" s="40" t="str">
        <x:f>IF(A42="","",IF(OR(S42&lt;&gt;"",Listas!$B$13&lt;&gt;"OK"),"n.a.",G42-Listas!$B$6))</x:f>
      </x:c>
      <x:c r="I42" s="40"/>
      <x:c r="J42" s="40" t="str">
        <x:f>IF(A42="","",IF(OR(S42&lt;&gt;"",T42&gt;0,Listas!$B$13&lt;&gt;"OK"),"n.a.",SUMIFS(Movimentacoes!$H$5:$H$304,Movimentacoes!$D$5:$D$304,A42,Movimentacoes!$B$5:$B$304,"&lt;="&amp;Listas!$B$6)))</x:f>
      </x:c>
      <x:c r="K42" s="180"/>
      <x:c r="L42" s="181" t="str">
        <x:f>IF(A42="","",IF(OR(U42&gt;0,Listas!$B$13&lt;&gt;"OK"),"n.a.",J42*K42))</x:f>
      </x:c>
      <x:c r="M42" s="27"/>
      <x:c r="N42" s="40" t="str">
        <x:f>IF(A42="","",IF(OR(U42&gt;0,Listas!$B$13&lt;&gt;"OK"),"REVISAR DADOS",IF(J42=0,"SEM SALDO",IF(G42&lt;Listas!$B$6,"VENCIDO",IF(H42&lt;=Listas!$B$7,"CRÍTICO",IF(H42&lt;=Listas!$B$8,"VENCE NA JANELA","OK"))))))</x:f>
      </x:c>
      <x:c r="O42" s="41" t="str">
        <x:f>IF(A42="","",IF(AND(ISNUMBER(V42),V42&gt;0),G42,""))</x:f>
      </x:c>
      <x:c r="P42" s="40" t="str">
        <x:f>IF(A42="","",IF(OR(U42&gt;0,Listas!$B$13&lt;&gt;"OK"),"REVISAR DADOS",IF(J42=0,"ARQUIVAR LOTE",IF(M42="Quarentena","DECIDIR LIBERAÇÃO",IF(M42="Bloqueado","SEGREGAR E INVESTIGAR",IF(M42="Esgotado","REVISAR STATUS COM SALDO",IF(N42="VENCIDO","SEGREGAR E AVALIAR DESTINAÇÃO",IF(OR(N42="CRÍTICO",N42="VENCE NA JANELA"),"PRIORIZAR FEFO","MANTER ROTAÇÃO"))))))))</x:f>
      </x:c>
      <x:c r="Q42" s="27"/>
      <x:c r="R42" s="181" t="str">
        <x:f>IF(A42="","",IF(OR(U42&gt;0,Listas!$B$13&lt;&gt;"OK"),"n.a.",IF(OR(N42="VENCIDO",N42="CRÍTICO",N42="VENCE NA JANELA",M42="Quarentena",M42="Bloqueado"),L42,0)))</x:f>
      </x:c>
      <x:c r="S42" s="163" t="str">
        <x:f>IF(COUNTA(A42:B42,D42:G42,I42,K42,M42,Q42,AB42:AD42)=0,"",IF(OR(A42="",COUNTIFS($A$5:$A$204,A42)&lt;&gt;1),"Lote ausente ou duplicado",IF(OR(B42="",COUNTIFS(Produtos!$A$5:$A$204,B42)&lt;&gt;1),"SKU ausente ou desconhecido",IF(COUNTIFS(Produtos!$A$5:$A$204,B42,Produtos!$R$5:$R$204,1)&gt;0,"Revisar cadastro do produto",IF(OR(NOT(ISNUMBER(E42)),E42&lt;=0,NOT(ISNUMBER(G42)),G42&lt;=0,G42&lt;E42),"Recebimento ou validade inválida",IF(AND(F42&lt;&gt;"",OR(NOT(ISNUMBER(F42)),F42&lt;=0,F42&gt;E42)),"Fabricação inválida ou posterior ao recebimento",IF(OR(NOT(ISNUMBER(K42)),K42&lt;0,NOT(ISNUMBER(I42)),I42&lt;0),"Quantidade recebida ou custo inválido",IF(AND(M42&lt;&gt;"Liberado",M42&lt;&gt;"Quarentena",M42&lt;&gt;"Bloqueado",M42&lt;&gt;"Esgotado"),"Status de lote inválido",""))))))))</x:f>
      </x:c>
      <x:c r="T42" s="163" t="n">
        <x:f>IF(A42="",0,COUNTIFS(Movimentacoes!$D$5:$D$304,A42,Movimentacoes!$P$5:$P$304,1))</x:f>
        <x:v>0</x:v>
      </x:c>
      <x:c r="U42" s="163" t="n">
        <x:f>IF(COUNTA(A42:B42,D42:G42,I42,K42,M42,Q42,AB42:AD42)=0,0,IF(OR(S42&lt;&gt;"",T42&gt;0),1,IF(ISNUMBER(J42),IF(OR(J42&lt;0,AND(J42&gt;0,M42="Esgotado")),1,0),0)))</x:f>
        <x:v>0</x:v>
      </x:c>
      <x:c r="V42" s="163" t="str">
        <x:f>IF(A42="","",IF(OR(U42&gt;0,Listas!$B$13&lt;&gt;"OK"),"n.a.",IF(AND(J42&gt;0,M42="Liberado",G42&gt;=Listas!$B$6),J42,0)))</x:f>
      </x:c>
      <x:c r="W42" s="163" t="str">
        <x:f>IF(A42="","",IF(OR(U42&gt;0,Listas!$B$13&lt;&gt;"OK"),"n.a.",V42*K42))</x:f>
      </x:c>
      <x:c r="X42" s="167" t="n">
        <x:f>IF(COUNTA(A42:B42,D42:G42,I42,K42,M42,Q42,AB42:AD42)=0,0,IF(OR(Listas!$B$19="Todos",B42=Listas!$B$19,COUNTIFS(Produtos!$A$5:$A$204,B42)&lt;&gt;1),1,0))</x:f>
        <x:v>0</x:v>
      </x:c>
      <x:c r="Y42" s="167" t="str">
        <x:f>IF(X42=0,"",IF(Listas!$B$13&lt;&gt;"OK","Revisar parâmetros",IF(U42&gt;0,IF(S42&lt;&gt;"",S42,IF(T42&gt;0,"Revisar movimentos",IF(AND(ISNUMBER(J42),J42&lt;0),"Saldo negativo","Status esgotado com saldo"))),IF(AG42&lt;&gt;"",AG42&amp;". ","")&amp;IF(J42&lt;=0,"",IF(N42="VENCIDO","Validade vencida. ","")&amp;IF(M42="Quarentena","Em quarentena. ","")&amp;IF(M42="Bloqueado","Lote bloqueado. ","")&amp;IF(N42="CRÍTICO","Validade crítica. ","")&amp;IF(N42="VENCE NA JANELA","Vence na janela. ","")))))</x:f>
      </x:c>
      <x:c r="Z42" s="167" t="n">
        <x:f>IF(OR(X42=0,Y42=""),0,IF(OR(Listas!$B$13&lt;&gt;"OK",U42&gt;0,AH42&gt;0),1,IF(N42="VENCIDO",2,IF(OR(M42="Quarentena",M42="Bloqueado"),3,IF(N42="CRÍTICO",4,5)))))</x:f>
        <x:v>0</x:v>
      </x:c>
      <x:c r="AA42" s="167" t="n">
        <x:f>IF(Z42=0,0,COUNTIFS($Z$5:$Z$204,"&gt;0",$Z$5:$Z$204,"&lt;"&amp;Z42,$X$5:$X$204,1)+COUNTIFS($Z$5:Z42,Z42,$X$5:X42,1))</x:f>
        <x:v>0</x:v>
      </x:c>
      <x:c r="AB42" s="168"/>
      <x:c r="AC42" s="168"/>
      <x:c r="AD42" s="169"/>
      <x:c r="AE42" s="167" t="str">
        <x:f>IF(X42=0,"",IF(OR(U42&gt;0,Listas!$B$13&lt;&gt;"OK"),"Dados pendentes",IF(J42&lt;=0,"Sem saldo",IF(N42="VENCIDO","Vencidos",IF(OR(M42="Quarentena",M42="Bloqueado"),"Restritos vigentes",IF(OR(N42="CRÍTICO",N42="VENCE NA JANELA"),"Liberados na janela","Demais liberados"))))))</x:f>
      </x:c>
      <x:c r="AF42" s="167" t="str">
        <x:f>IF(A42&lt;&gt;"",A42,IF(U42&gt;0,"Sem ID (linha "&amp;ROW()&amp;")",""))</x:f>
      </x:c>
      <x:c r="AG42" s="167" t="str">
        <x:f>IF(AD42="","",IF(OR(NOT(ISNUMBER(AD42)),AD42&lt;=0),"Prazo da ação inválido",""))</x:f>
      </x:c>
      <x:c r="AH42" s="167" t="n">
        <x:f>IF(AG42="",0,1)</x:f>
        <x:v>0</x:v>
      </x:c>
    </x:row>
    <x:row r="43" ht="32" customHeight="1">
      <x:c r="A43" s="27"/>
      <x:c r="B43" s="27"/>
      <x:c r="C43" s="40" t="str">
        <x:f>IF($B43="","",IFERROR(INDEX(Produtos!$B$5:$B$204,MATCH($B43,Produtos!$A$5:$A$204,0)),""))</x:f>
      </x:c>
      <x:c r="D43" s="170"/>
      <x:c r="E43" s="179"/>
      <x:c r="F43" s="179"/>
      <x:c r="G43" s="179"/>
      <x:c r="H43" s="40" t="str">
        <x:f>IF(A43="","",IF(OR(S43&lt;&gt;"",Listas!$B$13&lt;&gt;"OK"),"n.a.",G43-Listas!$B$6))</x:f>
      </x:c>
      <x:c r="I43" s="40"/>
      <x:c r="J43" s="40" t="str">
        <x:f>IF(A43="","",IF(OR(S43&lt;&gt;"",T43&gt;0,Listas!$B$13&lt;&gt;"OK"),"n.a.",SUMIFS(Movimentacoes!$H$5:$H$304,Movimentacoes!$D$5:$D$304,A43,Movimentacoes!$B$5:$B$304,"&lt;="&amp;Listas!$B$6)))</x:f>
      </x:c>
      <x:c r="K43" s="180"/>
      <x:c r="L43" s="181" t="str">
        <x:f>IF(A43="","",IF(OR(U43&gt;0,Listas!$B$13&lt;&gt;"OK"),"n.a.",J43*K43))</x:f>
      </x:c>
      <x:c r="M43" s="27"/>
      <x:c r="N43" s="40" t="str">
        <x:f>IF(A43="","",IF(OR(U43&gt;0,Listas!$B$13&lt;&gt;"OK"),"REVISAR DADOS",IF(J43=0,"SEM SALDO",IF(G43&lt;Listas!$B$6,"VENCIDO",IF(H43&lt;=Listas!$B$7,"CRÍTICO",IF(H43&lt;=Listas!$B$8,"VENCE NA JANELA","OK"))))))</x:f>
      </x:c>
      <x:c r="O43" s="41" t="str">
        <x:f>IF(A43="","",IF(AND(ISNUMBER(V43),V43&gt;0),G43,""))</x:f>
      </x:c>
      <x:c r="P43" s="40" t="str">
        <x:f>IF(A43="","",IF(OR(U43&gt;0,Listas!$B$13&lt;&gt;"OK"),"REVISAR DADOS",IF(J43=0,"ARQUIVAR LOTE",IF(M43="Quarentena","DECIDIR LIBERAÇÃO",IF(M43="Bloqueado","SEGREGAR E INVESTIGAR",IF(M43="Esgotado","REVISAR STATUS COM SALDO",IF(N43="VENCIDO","SEGREGAR E AVALIAR DESTINAÇÃO",IF(OR(N43="CRÍTICO",N43="VENCE NA JANELA"),"PRIORIZAR FEFO","MANTER ROTAÇÃO"))))))))</x:f>
      </x:c>
      <x:c r="Q43" s="27"/>
      <x:c r="R43" s="181" t="str">
        <x:f>IF(A43="","",IF(OR(U43&gt;0,Listas!$B$13&lt;&gt;"OK"),"n.a.",IF(OR(N43="VENCIDO",N43="CRÍTICO",N43="VENCE NA JANELA",M43="Quarentena",M43="Bloqueado"),L43,0)))</x:f>
      </x:c>
      <x:c r="S43" s="163" t="str">
        <x:f>IF(COUNTA(A43:B43,D43:G43,I43,K43,M43,Q43,AB43:AD43)=0,"",IF(OR(A43="",COUNTIFS($A$5:$A$204,A43)&lt;&gt;1),"Lote ausente ou duplicado",IF(OR(B43="",COUNTIFS(Produtos!$A$5:$A$204,B43)&lt;&gt;1),"SKU ausente ou desconhecido",IF(COUNTIFS(Produtos!$A$5:$A$204,B43,Produtos!$R$5:$R$204,1)&gt;0,"Revisar cadastro do produto",IF(OR(NOT(ISNUMBER(E43)),E43&lt;=0,NOT(ISNUMBER(G43)),G43&lt;=0,G43&lt;E43),"Recebimento ou validade inválida",IF(AND(F43&lt;&gt;"",OR(NOT(ISNUMBER(F43)),F43&lt;=0,F43&gt;E43)),"Fabricação inválida ou posterior ao recebimento",IF(OR(NOT(ISNUMBER(K43)),K43&lt;0,NOT(ISNUMBER(I43)),I43&lt;0),"Quantidade recebida ou custo inválido",IF(AND(M43&lt;&gt;"Liberado",M43&lt;&gt;"Quarentena",M43&lt;&gt;"Bloqueado",M43&lt;&gt;"Esgotado"),"Status de lote inválido",""))))))))</x:f>
      </x:c>
      <x:c r="T43" s="163" t="n">
        <x:f>IF(A43="",0,COUNTIFS(Movimentacoes!$D$5:$D$304,A43,Movimentacoes!$P$5:$P$304,1))</x:f>
        <x:v>0</x:v>
      </x:c>
      <x:c r="U43" s="163" t="n">
        <x:f>IF(COUNTA(A43:B43,D43:G43,I43,K43,M43,Q43,AB43:AD43)=0,0,IF(OR(S43&lt;&gt;"",T43&gt;0),1,IF(ISNUMBER(J43),IF(OR(J43&lt;0,AND(J43&gt;0,M43="Esgotado")),1,0),0)))</x:f>
        <x:v>0</x:v>
      </x:c>
      <x:c r="V43" s="163" t="str">
        <x:f>IF(A43="","",IF(OR(U43&gt;0,Listas!$B$13&lt;&gt;"OK"),"n.a.",IF(AND(J43&gt;0,M43="Liberado",G43&gt;=Listas!$B$6),J43,0)))</x:f>
      </x:c>
      <x:c r="W43" s="163" t="str">
        <x:f>IF(A43="","",IF(OR(U43&gt;0,Listas!$B$13&lt;&gt;"OK"),"n.a.",V43*K43))</x:f>
      </x:c>
      <x:c r="X43" s="167" t="n">
        <x:f>IF(COUNTA(A43:B43,D43:G43,I43,K43,M43,Q43,AB43:AD43)=0,0,IF(OR(Listas!$B$19="Todos",B43=Listas!$B$19,COUNTIFS(Produtos!$A$5:$A$204,B43)&lt;&gt;1),1,0))</x:f>
        <x:v>0</x:v>
      </x:c>
      <x:c r="Y43" s="167" t="str">
        <x:f>IF(X43=0,"",IF(Listas!$B$13&lt;&gt;"OK","Revisar parâmetros",IF(U43&gt;0,IF(S43&lt;&gt;"",S43,IF(T43&gt;0,"Revisar movimentos",IF(AND(ISNUMBER(J43),J43&lt;0),"Saldo negativo","Status esgotado com saldo"))),IF(AG43&lt;&gt;"",AG43&amp;". ","")&amp;IF(J43&lt;=0,"",IF(N43="VENCIDO","Validade vencida. ","")&amp;IF(M43="Quarentena","Em quarentena. ","")&amp;IF(M43="Bloqueado","Lote bloqueado. ","")&amp;IF(N43="CRÍTICO","Validade crítica. ","")&amp;IF(N43="VENCE NA JANELA","Vence na janela. ","")))))</x:f>
      </x:c>
      <x:c r="Z43" s="167" t="n">
        <x:f>IF(OR(X43=0,Y43=""),0,IF(OR(Listas!$B$13&lt;&gt;"OK",U43&gt;0,AH43&gt;0),1,IF(N43="VENCIDO",2,IF(OR(M43="Quarentena",M43="Bloqueado"),3,IF(N43="CRÍTICO",4,5)))))</x:f>
        <x:v>0</x:v>
      </x:c>
      <x:c r="AA43" s="167" t="n">
        <x:f>IF(Z43=0,0,COUNTIFS($Z$5:$Z$204,"&gt;0",$Z$5:$Z$204,"&lt;"&amp;Z43,$X$5:$X$204,1)+COUNTIFS($Z$5:Z43,Z43,$X$5:X43,1))</x:f>
        <x:v>0</x:v>
      </x:c>
      <x:c r="AB43" s="168"/>
      <x:c r="AC43" s="168"/>
      <x:c r="AD43" s="169"/>
      <x:c r="AE43" s="167" t="str">
        <x:f>IF(X43=0,"",IF(OR(U43&gt;0,Listas!$B$13&lt;&gt;"OK"),"Dados pendentes",IF(J43&lt;=0,"Sem saldo",IF(N43="VENCIDO","Vencidos",IF(OR(M43="Quarentena",M43="Bloqueado"),"Restritos vigentes",IF(OR(N43="CRÍTICO",N43="VENCE NA JANELA"),"Liberados na janela","Demais liberados"))))))</x:f>
      </x:c>
      <x:c r="AF43" s="167" t="str">
        <x:f>IF(A43&lt;&gt;"",A43,IF(U43&gt;0,"Sem ID (linha "&amp;ROW()&amp;")",""))</x:f>
      </x:c>
      <x:c r="AG43" s="167" t="str">
        <x:f>IF(AD43="","",IF(OR(NOT(ISNUMBER(AD43)),AD43&lt;=0),"Prazo da ação inválido",""))</x:f>
      </x:c>
      <x:c r="AH43" s="167" t="n">
        <x:f>IF(AG43="",0,1)</x:f>
        <x:v>0</x:v>
      </x:c>
    </x:row>
    <x:row r="44" ht="32" customHeight="1">
      <x:c r="A44" s="27"/>
      <x:c r="B44" s="27"/>
      <x:c r="C44" s="40" t="str">
        <x:f>IF($B44="","",IFERROR(INDEX(Produtos!$B$5:$B$204,MATCH($B44,Produtos!$A$5:$A$204,0)),""))</x:f>
      </x:c>
      <x:c r="D44" s="170"/>
      <x:c r="E44" s="179"/>
      <x:c r="F44" s="179"/>
      <x:c r="G44" s="179"/>
      <x:c r="H44" s="40" t="str">
        <x:f>IF(A44="","",IF(OR(S44&lt;&gt;"",Listas!$B$13&lt;&gt;"OK"),"n.a.",G44-Listas!$B$6))</x:f>
      </x:c>
      <x:c r="I44" s="40"/>
      <x:c r="J44" s="40" t="str">
        <x:f>IF(A44="","",IF(OR(S44&lt;&gt;"",T44&gt;0,Listas!$B$13&lt;&gt;"OK"),"n.a.",SUMIFS(Movimentacoes!$H$5:$H$304,Movimentacoes!$D$5:$D$304,A44,Movimentacoes!$B$5:$B$304,"&lt;="&amp;Listas!$B$6)))</x:f>
      </x:c>
      <x:c r="K44" s="180"/>
      <x:c r="L44" s="181" t="str">
        <x:f>IF(A44="","",IF(OR(U44&gt;0,Listas!$B$13&lt;&gt;"OK"),"n.a.",J44*K44))</x:f>
      </x:c>
      <x:c r="M44" s="27"/>
      <x:c r="N44" s="40" t="str">
        <x:f>IF(A44="","",IF(OR(U44&gt;0,Listas!$B$13&lt;&gt;"OK"),"REVISAR DADOS",IF(J44=0,"SEM SALDO",IF(G44&lt;Listas!$B$6,"VENCIDO",IF(H44&lt;=Listas!$B$7,"CRÍTICO",IF(H44&lt;=Listas!$B$8,"VENCE NA JANELA","OK"))))))</x:f>
      </x:c>
      <x:c r="O44" s="41" t="str">
        <x:f>IF(A44="","",IF(AND(ISNUMBER(V44),V44&gt;0),G44,""))</x:f>
      </x:c>
      <x:c r="P44" s="40" t="str">
        <x:f>IF(A44="","",IF(OR(U44&gt;0,Listas!$B$13&lt;&gt;"OK"),"REVISAR DADOS",IF(J44=0,"ARQUIVAR LOTE",IF(M44="Quarentena","DECIDIR LIBERAÇÃO",IF(M44="Bloqueado","SEGREGAR E INVESTIGAR",IF(M44="Esgotado","REVISAR STATUS COM SALDO",IF(N44="VENCIDO","SEGREGAR E AVALIAR DESTINAÇÃO",IF(OR(N44="CRÍTICO",N44="VENCE NA JANELA"),"PRIORIZAR FEFO","MANTER ROTAÇÃO"))))))))</x:f>
      </x:c>
      <x:c r="Q44" s="27"/>
      <x:c r="R44" s="181" t="str">
        <x:f>IF(A44="","",IF(OR(U44&gt;0,Listas!$B$13&lt;&gt;"OK"),"n.a.",IF(OR(N44="VENCIDO",N44="CRÍTICO",N44="VENCE NA JANELA",M44="Quarentena",M44="Bloqueado"),L44,0)))</x:f>
      </x:c>
      <x:c r="S44" s="163" t="str">
        <x:f>IF(COUNTA(A44:B44,D44:G44,I44,K44,M44,Q44,AB44:AD44)=0,"",IF(OR(A44="",COUNTIFS($A$5:$A$204,A44)&lt;&gt;1),"Lote ausente ou duplicado",IF(OR(B44="",COUNTIFS(Produtos!$A$5:$A$204,B44)&lt;&gt;1),"SKU ausente ou desconhecido",IF(COUNTIFS(Produtos!$A$5:$A$204,B44,Produtos!$R$5:$R$204,1)&gt;0,"Revisar cadastro do produto",IF(OR(NOT(ISNUMBER(E44)),E44&lt;=0,NOT(ISNUMBER(G44)),G44&lt;=0,G44&lt;E44),"Recebimento ou validade inválida",IF(AND(F44&lt;&gt;"",OR(NOT(ISNUMBER(F44)),F44&lt;=0,F44&gt;E44)),"Fabricação inválida ou posterior ao recebimento",IF(OR(NOT(ISNUMBER(K44)),K44&lt;0,NOT(ISNUMBER(I44)),I44&lt;0),"Quantidade recebida ou custo inválido",IF(AND(M44&lt;&gt;"Liberado",M44&lt;&gt;"Quarentena",M44&lt;&gt;"Bloqueado",M44&lt;&gt;"Esgotado"),"Status de lote inválido",""))))))))</x:f>
      </x:c>
      <x:c r="T44" s="163" t="n">
        <x:f>IF(A44="",0,COUNTIFS(Movimentacoes!$D$5:$D$304,A44,Movimentacoes!$P$5:$P$304,1))</x:f>
        <x:v>0</x:v>
      </x:c>
      <x:c r="U44" s="163" t="n">
        <x:f>IF(COUNTA(A44:B44,D44:G44,I44,K44,M44,Q44,AB44:AD44)=0,0,IF(OR(S44&lt;&gt;"",T44&gt;0),1,IF(ISNUMBER(J44),IF(OR(J44&lt;0,AND(J44&gt;0,M44="Esgotado")),1,0),0)))</x:f>
        <x:v>0</x:v>
      </x:c>
      <x:c r="V44" s="163" t="str">
        <x:f>IF(A44="","",IF(OR(U44&gt;0,Listas!$B$13&lt;&gt;"OK"),"n.a.",IF(AND(J44&gt;0,M44="Liberado",G44&gt;=Listas!$B$6),J44,0)))</x:f>
      </x:c>
      <x:c r="W44" s="163" t="str">
        <x:f>IF(A44="","",IF(OR(U44&gt;0,Listas!$B$13&lt;&gt;"OK"),"n.a.",V44*K44))</x:f>
      </x:c>
      <x:c r="X44" s="167" t="n">
        <x:f>IF(COUNTA(A44:B44,D44:G44,I44,K44,M44,Q44,AB44:AD44)=0,0,IF(OR(Listas!$B$19="Todos",B44=Listas!$B$19,COUNTIFS(Produtos!$A$5:$A$204,B44)&lt;&gt;1),1,0))</x:f>
        <x:v>0</x:v>
      </x:c>
      <x:c r="Y44" s="167" t="str">
        <x:f>IF(X44=0,"",IF(Listas!$B$13&lt;&gt;"OK","Revisar parâmetros",IF(U44&gt;0,IF(S44&lt;&gt;"",S44,IF(T44&gt;0,"Revisar movimentos",IF(AND(ISNUMBER(J44),J44&lt;0),"Saldo negativo","Status esgotado com saldo"))),IF(AG44&lt;&gt;"",AG44&amp;". ","")&amp;IF(J44&lt;=0,"",IF(N44="VENCIDO","Validade vencida. ","")&amp;IF(M44="Quarentena","Em quarentena. ","")&amp;IF(M44="Bloqueado","Lote bloqueado. ","")&amp;IF(N44="CRÍTICO","Validade crítica. ","")&amp;IF(N44="VENCE NA JANELA","Vence na janela. ","")))))</x:f>
      </x:c>
      <x:c r="Z44" s="167" t="n">
        <x:f>IF(OR(X44=0,Y44=""),0,IF(OR(Listas!$B$13&lt;&gt;"OK",U44&gt;0,AH44&gt;0),1,IF(N44="VENCIDO",2,IF(OR(M44="Quarentena",M44="Bloqueado"),3,IF(N44="CRÍTICO",4,5)))))</x:f>
        <x:v>0</x:v>
      </x:c>
      <x:c r="AA44" s="167" t="n">
        <x:f>IF(Z44=0,0,COUNTIFS($Z$5:$Z$204,"&gt;0",$Z$5:$Z$204,"&lt;"&amp;Z44,$X$5:$X$204,1)+COUNTIFS($Z$5:Z44,Z44,$X$5:X44,1))</x:f>
        <x:v>0</x:v>
      </x:c>
      <x:c r="AB44" s="168"/>
      <x:c r="AC44" s="168"/>
      <x:c r="AD44" s="169"/>
      <x:c r="AE44" s="167" t="str">
        <x:f>IF(X44=0,"",IF(OR(U44&gt;0,Listas!$B$13&lt;&gt;"OK"),"Dados pendentes",IF(J44&lt;=0,"Sem saldo",IF(N44="VENCIDO","Vencidos",IF(OR(M44="Quarentena",M44="Bloqueado"),"Restritos vigentes",IF(OR(N44="CRÍTICO",N44="VENCE NA JANELA"),"Liberados na janela","Demais liberados"))))))</x:f>
      </x:c>
      <x:c r="AF44" s="167" t="str">
        <x:f>IF(A44&lt;&gt;"",A44,IF(U44&gt;0,"Sem ID (linha "&amp;ROW()&amp;")",""))</x:f>
      </x:c>
      <x:c r="AG44" s="167" t="str">
        <x:f>IF(AD44="","",IF(OR(NOT(ISNUMBER(AD44)),AD44&lt;=0),"Prazo da ação inválido",""))</x:f>
      </x:c>
      <x:c r="AH44" s="167" t="n">
        <x:f>IF(AG44="",0,1)</x:f>
        <x:v>0</x:v>
      </x:c>
    </x:row>
    <x:row r="45" ht="32" customHeight="1">
      <x:c r="A45" s="27"/>
      <x:c r="B45" s="27"/>
      <x:c r="C45" s="40" t="str">
        <x:f>IF($B45="","",IFERROR(INDEX(Produtos!$B$5:$B$204,MATCH($B45,Produtos!$A$5:$A$204,0)),""))</x:f>
      </x:c>
      <x:c r="D45" s="170"/>
      <x:c r="E45" s="179"/>
      <x:c r="F45" s="179"/>
      <x:c r="G45" s="179"/>
      <x:c r="H45" s="40" t="str">
        <x:f>IF(A45="","",IF(OR(S45&lt;&gt;"",Listas!$B$13&lt;&gt;"OK"),"n.a.",G45-Listas!$B$6))</x:f>
      </x:c>
      <x:c r="I45" s="40"/>
      <x:c r="J45" s="40" t="str">
        <x:f>IF(A45="","",IF(OR(S45&lt;&gt;"",T45&gt;0,Listas!$B$13&lt;&gt;"OK"),"n.a.",SUMIFS(Movimentacoes!$H$5:$H$304,Movimentacoes!$D$5:$D$304,A45,Movimentacoes!$B$5:$B$304,"&lt;="&amp;Listas!$B$6)))</x:f>
      </x:c>
      <x:c r="K45" s="180"/>
      <x:c r="L45" s="181" t="str">
        <x:f>IF(A45="","",IF(OR(U45&gt;0,Listas!$B$13&lt;&gt;"OK"),"n.a.",J45*K45))</x:f>
      </x:c>
      <x:c r="M45" s="27"/>
      <x:c r="N45" s="40" t="str">
        <x:f>IF(A45="","",IF(OR(U45&gt;0,Listas!$B$13&lt;&gt;"OK"),"REVISAR DADOS",IF(J45=0,"SEM SALDO",IF(G45&lt;Listas!$B$6,"VENCIDO",IF(H45&lt;=Listas!$B$7,"CRÍTICO",IF(H45&lt;=Listas!$B$8,"VENCE NA JANELA","OK"))))))</x:f>
      </x:c>
      <x:c r="O45" s="41" t="str">
        <x:f>IF(A45="","",IF(AND(ISNUMBER(V45),V45&gt;0),G45,""))</x:f>
      </x:c>
      <x:c r="P45" s="40" t="str">
        <x:f>IF(A45="","",IF(OR(U45&gt;0,Listas!$B$13&lt;&gt;"OK"),"REVISAR DADOS",IF(J45=0,"ARQUIVAR LOTE",IF(M45="Quarentena","DECIDIR LIBERAÇÃO",IF(M45="Bloqueado","SEGREGAR E INVESTIGAR",IF(M45="Esgotado","REVISAR STATUS COM SALDO",IF(N45="VENCIDO","SEGREGAR E AVALIAR DESTINAÇÃO",IF(OR(N45="CRÍTICO",N45="VENCE NA JANELA"),"PRIORIZAR FEFO","MANTER ROTAÇÃO"))))))))</x:f>
      </x:c>
      <x:c r="Q45" s="27"/>
      <x:c r="R45" s="181" t="str">
        <x:f>IF(A45="","",IF(OR(U45&gt;0,Listas!$B$13&lt;&gt;"OK"),"n.a.",IF(OR(N45="VENCIDO",N45="CRÍTICO",N45="VENCE NA JANELA",M45="Quarentena",M45="Bloqueado"),L45,0)))</x:f>
      </x:c>
      <x:c r="S45" s="163" t="str">
        <x:f>IF(COUNTA(A45:B45,D45:G45,I45,K45,M45,Q45,AB45:AD45)=0,"",IF(OR(A45="",COUNTIFS($A$5:$A$204,A45)&lt;&gt;1),"Lote ausente ou duplicado",IF(OR(B45="",COUNTIFS(Produtos!$A$5:$A$204,B45)&lt;&gt;1),"SKU ausente ou desconhecido",IF(COUNTIFS(Produtos!$A$5:$A$204,B45,Produtos!$R$5:$R$204,1)&gt;0,"Revisar cadastro do produto",IF(OR(NOT(ISNUMBER(E45)),E45&lt;=0,NOT(ISNUMBER(G45)),G45&lt;=0,G45&lt;E45),"Recebimento ou validade inválida",IF(AND(F45&lt;&gt;"",OR(NOT(ISNUMBER(F45)),F45&lt;=0,F45&gt;E45)),"Fabricação inválida ou posterior ao recebimento",IF(OR(NOT(ISNUMBER(K45)),K45&lt;0,NOT(ISNUMBER(I45)),I45&lt;0),"Quantidade recebida ou custo inválido",IF(AND(M45&lt;&gt;"Liberado",M45&lt;&gt;"Quarentena",M45&lt;&gt;"Bloqueado",M45&lt;&gt;"Esgotado"),"Status de lote inválido",""))))))))</x:f>
      </x:c>
      <x:c r="T45" s="163" t="n">
        <x:f>IF(A45="",0,COUNTIFS(Movimentacoes!$D$5:$D$304,A45,Movimentacoes!$P$5:$P$304,1))</x:f>
        <x:v>0</x:v>
      </x:c>
      <x:c r="U45" s="163" t="n">
        <x:f>IF(COUNTA(A45:B45,D45:G45,I45,K45,M45,Q45,AB45:AD45)=0,0,IF(OR(S45&lt;&gt;"",T45&gt;0),1,IF(ISNUMBER(J45),IF(OR(J45&lt;0,AND(J45&gt;0,M45="Esgotado")),1,0),0)))</x:f>
        <x:v>0</x:v>
      </x:c>
      <x:c r="V45" s="163" t="str">
        <x:f>IF(A45="","",IF(OR(U45&gt;0,Listas!$B$13&lt;&gt;"OK"),"n.a.",IF(AND(J45&gt;0,M45="Liberado",G45&gt;=Listas!$B$6),J45,0)))</x:f>
      </x:c>
      <x:c r="W45" s="163" t="str">
        <x:f>IF(A45="","",IF(OR(U45&gt;0,Listas!$B$13&lt;&gt;"OK"),"n.a.",V45*K45))</x:f>
      </x:c>
      <x:c r="X45" s="167" t="n">
        <x:f>IF(COUNTA(A45:B45,D45:G45,I45,K45,M45,Q45,AB45:AD45)=0,0,IF(OR(Listas!$B$19="Todos",B45=Listas!$B$19,COUNTIFS(Produtos!$A$5:$A$204,B45)&lt;&gt;1),1,0))</x:f>
        <x:v>0</x:v>
      </x:c>
      <x:c r="Y45" s="167" t="str">
        <x:f>IF(X45=0,"",IF(Listas!$B$13&lt;&gt;"OK","Revisar parâmetros",IF(U45&gt;0,IF(S45&lt;&gt;"",S45,IF(T45&gt;0,"Revisar movimentos",IF(AND(ISNUMBER(J45),J45&lt;0),"Saldo negativo","Status esgotado com saldo"))),IF(AG45&lt;&gt;"",AG45&amp;". ","")&amp;IF(J45&lt;=0,"",IF(N45="VENCIDO","Validade vencida. ","")&amp;IF(M45="Quarentena","Em quarentena. ","")&amp;IF(M45="Bloqueado","Lote bloqueado. ","")&amp;IF(N45="CRÍTICO","Validade crítica. ","")&amp;IF(N45="VENCE NA JANELA","Vence na janela. ","")))))</x:f>
      </x:c>
      <x:c r="Z45" s="167" t="n">
        <x:f>IF(OR(X45=0,Y45=""),0,IF(OR(Listas!$B$13&lt;&gt;"OK",U45&gt;0,AH45&gt;0),1,IF(N45="VENCIDO",2,IF(OR(M45="Quarentena",M45="Bloqueado"),3,IF(N45="CRÍTICO",4,5)))))</x:f>
        <x:v>0</x:v>
      </x:c>
      <x:c r="AA45" s="167" t="n">
        <x:f>IF(Z45=0,0,COUNTIFS($Z$5:$Z$204,"&gt;0",$Z$5:$Z$204,"&lt;"&amp;Z45,$X$5:$X$204,1)+COUNTIFS($Z$5:Z45,Z45,$X$5:X45,1))</x:f>
        <x:v>0</x:v>
      </x:c>
      <x:c r="AB45" s="168"/>
      <x:c r="AC45" s="168"/>
      <x:c r="AD45" s="169"/>
      <x:c r="AE45" s="167" t="str">
        <x:f>IF(X45=0,"",IF(OR(U45&gt;0,Listas!$B$13&lt;&gt;"OK"),"Dados pendentes",IF(J45&lt;=0,"Sem saldo",IF(N45="VENCIDO","Vencidos",IF(OR(M45="Quarentena",M45="Bloqueado"),"Restritos vigentes",IF(OR(N45="CRÍTICO",N45="VENCE NA JANELA"),"Liberados na janela","Demais liberados"))))))</x:f>
      </x:c>
      <x:c r="AF45" s="167" t="str">
        <x:f>IF(A45&lt;&gt;"",A45,IF(U45&gt;0,"Sem ID (linha "&amp;ROW()&amp;")",""))</x:f>
      </x:c>
      <x:c r="AG45" s="167" t="str">
        <x:f>IF(AD45="","",IF(OR(NOT(ISNUMBER(AD45)),AD45&lt;=0),"Prazo da ação inválido",""))</x:f>
      </x:c>
      <x:c r="AH45" s="167" t="n">
        <x:f>IF(AG45="",0,1)</x:f>
        <x:v>0</x:v>
      </x:c>
    </x:row>
    <x:row r="46" ht="32" customHeight="1">
      <x:c r="A46" s="27"/>
      <x:c r="B46" s="27"/>
      <x:c r="C46" s="40" t="str">
        <x:f>IF($B46="","",IFERROR(INDEX(Produtos!$B$5:$B$204,MATCH($B46,Produtos!$A$5:$A$204,0)),""))</x:f>
      </x:c>
      <x:c r="D46" s="170"/>
      <x:c r="E46" s="179"/>
      <x:c r="F46" s="179"/>
      <x:c r="G46" s="179"/>
      <x:c r="H46" s="40" t="str">
        <x:f>IF(A46="","",IF(OR(S46&lt;&gt;"",Listas!$B$13&lt;&gt;"OK"),"n.a.",G46-Listas!$B$6))</x:f>
      </x:c>
      <x:c r="I46" s="40"/>
      <x:c r="J46" s="40" t="str">
        <x:f>IF(A46="","",IF(OR(S46&lt;&gt;"",T46&gt;0,Listas!$B$13&lt;&gt;"OK"),"n.a.",SUMIFS(Movimentacoes!$H$5:$H$304,Movimentacoes!$D$5:$D$304,A46,Movimentacoes!$B$5:$B$304,"&lt;="&amp;Listas!$B$6)))</x:f>
      </x:c>
      <x:c r="K46" s="180"/>
      <x:c r="L46" s="181" t="str">
        <x:f>IF(A46="","",IF(OR(U46&gt;0,Listas!$B$13&lt;&gt;"OK"),"n.a.",J46*K46))</x:f>
      </x:c>
      <x:c r="M46" s="27"/>
      <x:c r="N46" s="40" t="str">
        <x:f>IF(A46="","",IF(OR(U46&gt;0,Listas!$B$13&lt;&gt;"OK"),"REVISAR DADOS",IF(J46=0,"SEM SALDO",IF(G46&lt;Listas!$B$6,"VENCIDO",IF(H46&lt;=Listas!$B$7,"CRÍTICO",IF(H46&lt;=Listas!$B$8,"VENCE NA JANELA","OK"))))))</x:f>
      </x:c>
      <x:c r="O46" s="41" t="str">
        <x:f>IF(A46="","",IF(AND(ISNUMBER(V46),V46&gt;0),G46,""))</x:f>
      </x:c>
      <x:c r="P46" s="40" t="str">
        <x:f>IF(A46="","",IF(OR(U46&gt;0,Listas!$B$13&lt;&gt;"OK"),"REVISAR DADOS",IF(J46=0,"ARQUIVAR LOTE",IF(M46="Quarentena","DECIDIR LIBERAÇÃO",IF(M46="Bloqueado","SEGREGAR E INVESTIGAR",IF(M46="Esgotado","REVISAR STATUS COM SALDO",IF(N46="VENCIDO","SEGREGAR E AVALIAR DESTINAÇÃO",IF(OR(N46="CRÍTICO",N46="VENCE NA JANELA"),"PRIORIZAR FEFO","MANTER ROTAÇÃO"))))))))</x:f>
      </x:c>
      <x:c r="Q46" s="27"/>
      <x:c r="R46" s="181" t="str">
        <x:f>IF(A46="","",IF(OR(U46&gt;0,Listas!$B$13&lt;&gt;"OK"),"n.a.",IF(OR(N46="VENCIDO",N46="CRÍTICO",N46="VENCE NA JANELA",M46="Quarentena",M46="Bloqueado"),L46,0)))</x:f>
      </x:c>
      <x:c r="S46" s="163" t="str">
        <x:f>IF(COUNTA(A46:B46,D46:G46,I46,K46,M46,Q46,AB46:AD46)=0,"",IF(OR(A46="",COUNTIFS($A$5:$A$204,A46)&lt;&gt;1),"Lote ausente ou duplicado",IF(OR(B46="",COUNTIFS(Produtos!$A$5:$A$204,B46)&lt;&gt;1),"SKU ausente ou desconhecido",IF(COUNTIFS(Produtos!$A$5:$A$204,B46,Produtos!$R$5:$R$204,1)&gt;0,"Revisar cadastro do produto",IF(OR(NOT(ISNUMBER(E46)),E46&lt;=0,NOT(ISNUMBER(G46)),G46&lt;=0,G46&lt;E46),"Recebimento ou validade inválida",IF(AND(F46&lt;&gt;"",OR(NOT(ISNUMBER(F46)),F46&lt;=0,F46&gt;E46)),"Fabricação inválida ou posterior ao recebimento",IF(OR(NOT(ISNUMBER(K46)),K46&lt;0,NOT(ISNUMBER(I46)),I46&lt;0),"Quantidade recebida ou custo inválido",IF(AND(M46&lt;&gt;"Liberado",M46&lt;&gt;"Quarentena",M46&lt;&gt;"Bloqueado",M46&lt;&gt;"Esgotado"),"Status de lote inválido",""))))))))</x:f>
      </x:c>
      <x:c r="T46" s="163" t="n">
        <x:f>IF(A46="",0,COUNTIFS(Movimentacoes!$D$5:$D$304,A46,Movimentacoes!$P$5:$P$304,1))</x:f>
        <x:v>0</x:v>
      </x:c>
      <x:c r="U46" s="163" t="n">
        <x:f>IF(COUNTA(A46:B46,D46:G46,I46,K46,M46,Q46,AB46:AD46)=0,0,IF(OR(S46&lt;&gt;"",T46&gt;0),1,IF(ISNUMBER(J46),IF(OR(J46&lt;0,AND(J46&gt;0,M46="Esgotado")),1,0),0)))</x:f>
        <x:v>0</x:v>
      </x:c>
      <x:c r="V46" s="163" t="str">
        <x:f>IF(A46="","",IF(OR(U46&gt;0,Listas!$B$13&lt;&gt;"OK"),"n.a.",IF(AND(J46&gt;0,M46="Liberado",G46&gt;=Listas!$B$6),J46,0)))</x:f>
      </x:c>
      <x:c r="W46" s="163" t="str">
        <x:f>IF(A46="","",IF(OR(U46&gt;0,Listas!$B$13&lt;&gt;"OK"),"n.a.",V46*K46))</x:f>
      </x:c>
      <x:c r="X46" s="167" t="n">
        <x:f>IF(COUNTA(A46:B46,D46:G46,I46,K46,M46,Q46,AB46:AD46)=0,0,IF(OR(Listas!$B$19="Todos",B46=Listas!$B$19,COUNTIFS(Produtos!$A$5:$A$204,B46)&lt;&gt;1),1,0))</x:f>
        <x:v>0</x:v>
      </x:c>
      <x:c r="Y46" s="167" t="str">
        <x:f>IF(X46=0,"",IF(Listas!$B$13&lt;&gt;"OK","Revisar parâmetros",IF(U46&gt;0,IF(S46&lt;&gt;"",S46,IF(T46&gt;0,"Revisar movimentos",IF(AND(ISNUMBER(J46),J46&lt;0),"Saldo negativo","Status esgotado com saldo"))),IF(AG46&lt;&gt;"",AG46&amp;". ","")&amp;IF(J46&lt;=0,"",IF(N46="VENCIDO","Validade vencida. ","")&amp;IF(M46="Quarentena","Em quarentena. ","")&amp;IF(M46="Bloqueado","Lote bloqueado. ","")&amp;IF(N46="CRÍTICO","Validade crítica. ","")&amp;IF(N46="VENCE NA JANELA","Vence na janela. ","")))))</x:f>
      </x:c>
      <x:c r="Z46" s="167" t="n">
        <x:f>IF(OR(X46=0,Y46=""),0,IF(OR(Listas!$B$13&lt;&gt;"OK",U46&gt;0,AH46&gt;0),1,IF(N46="VENCIDO",2,IF(OR(M46="Quarentena",M46="Bloqueado"),3,IF(N46="CRÍTICO",4,5)))))</x:f>
        <x:v>0</x:v>
      </x:c>
      <x:c r="AA46" s="167" t="n">
        <x:f>IF(Z46=0,0,COUNTIFS($Z$5:$Z$204,"&gt;0",$Z$5:$Z$204,"&lt;"&amp;Z46,$X$5:$X$204,1)+COUNTIFS($Z$5:Z46,Z46,$X$5:X46,1))</x:f>
        <x:v>0</x:v>
      </x:c>
      <x:c r="AB46" s="168"/>
      <x:c r="AC46" s="168"/>
      <x:c r="AD46" s="169"/>
      <x:c r="AE46" s="167" t="str">
        <x:f>IF(X46=0,"",IF(OR(U46&gt;0,Listas!$B$13&lt;&gt;"OK"),"Dados pendentes",IF(J46&lt;=0,"Sem saldo",IF(N46="VENCIDO","Vencidos",IF(OR(M46="Quarentena",M46="Bloqueado"),"Restritos vigentes",IF(OR(N46="CRÍTICO",N46="VENCE NA JANELA"),"Liberados na janela","Demais liberados"))))))</x:f>
      </x:c>
      <x:c r="AF46" s="167" t="str">
        <x:f>IF(A46&lt;&gt;"",A46,IF(U46&gt;0,"Sem ID (linha "&amp;ROW()&amp;")",""))</x:f>
      </x:c>
      <x:c r="AG46" s="167" t="str">
        <x:f>IF(AD46="","",IF(OR(NOT(ISNUMBER(AD46)),AD46&lt;=0),"Prazo da ação inválido",""))</x:f>
      </x:c>
      <x:c r="AH46" s="167" t="n">
        <x:f>IF(AG46="",0,1)</x:f>
        <x:v>0</x:v>
      </x:c>
    </x:row>
    <x:row r="47" ht="32" customHeight="1">
      <x:c r="A47" s="27"/>
      <x:c r="B47" s="27"/>
      <x:c r="C47" s="40" t="str">
        <x:f>IF($B47="","",IFERROR(INDEX(Produtos!$B$5:$B$204,MATCH($B47,Produtos!$A$5:$A$204,0)),""))</x:f>
      </x:c>
      <x:c r="D47" s="170"/>
      <x:c r="E47" s="179"/>
      <x:c r="F47" s="179"/>
      <x:c r="G47" s="179"/>
      <x:c r="H47" s="40" t="str">
        <x:f>IF(A47="","",IF(OR(S47&lt;&gt;"",Listas!$B$13&lt;&gt;"OK"),"n.a.",G47-Listas!$B$6))</x:f>
      </x:c>
      <x:c r="I47" s="40"/>
      <x:c r="J47" s="40" t="str">
        <x:f>IF(A47="","",IF(OR(S47&lt;&gt;"",T47&gt;0,Listas!$B$13&lt;&gt;"OK"),"n.a.",SUMIFS(Movimentacoes!$H$5:$H$304,Movimentacoes!$D$5:$D$304,A47,Movimentacoes!$B$5:$B$304,"&lt;="&amp;Listas!$B$6)))</x:f>
      </x:c>
      <x:c r="K47" s="180"/>
      <x:c r="L47" s="181" t="str">
        <x:f>IF(A47="","",IF(OR(U47&gt;0,Listas!$B$13&lt;&gt;"OK"),"n.a.",J47*K47))</x:f>
      </x:c>
      <x:c r="M47" s="27"/>
      <x:c r="N47" s="40" t="str">
        <x:f>IF(A47="","",IF(OR(U47&gt;0,Listas!$B$13&lt;&gt;"OK"),"REVISAR DADOS",IF(J47=0,"SEM SALDO",IF(G47&lt;Listas!$B$6,"VENCIDO",IF(H47&lt;=Listas!$B$7,"CRÍTICO",IF(H47&lt;=Listas!$B$8,"VENCE NA JANELA","OK"))))))</x:f>
      </x:c>
      <x:c r="O47" s="41" t="str">
        <x:f>IF(A47="","",IF(AND(ISNUMBER(V47),V47&gt;0),G47,""))</x:f>
      </x:c>
      <x:c r="P47" s="40" t="str">
        <x:f>IF(A47="","",IF(OR(U47&gt;0,Listas!$B$13&lt;&gt;"OK"),"REVISAR DADOS",IF(J47=0,"ARQUIVAR LOTE",IF(M47="Quarentena","DECIDIR LIBERAÇÃO",IF(M47="Bloqueado","SEGREGAR E INVESTIGAR",IF(M47="Esgotado","REVISAR STATUS COM SALDO",IF(N47="VENCIDO","SEGREGAR E AVALIAR DESTINAÇÃO",IF(OR(N47="CRÍTICO",N47="VENCE NA JANELA"),"PRIORIZAR FEFO","MANTER ROTAÇÃO"))))))))</x:f>
      </x:c>
      <x:c r="Q47" s="27"/>
      <x:c r="R47" s="181" t="str">
        <x:f>IF(A47="","",IF(OR(U47&gt;0,Listas!$B$13&lt;&gt;"OK"),"n.a.",IF(OR(N47="VENCIDO",N47="CRÍTICO",N47="VENCE NA JANELA",M47="Quarentena",M47="Bloqueado"),L47,0)))</x:f>
      </x:c>
      <x:c r="S47" s="163" t="str">
        <x:f>IF(COUNTA(A47:B47,D47:G47,I47,K47,M47,Q47,AB47:AD47)=0,"",IF(OR(A47="",COUNTIFS($A$5:$A$204,A47)&lt;&gt;1),"Lote ausente ou duplicado",IF(OR(B47="",COUNTIFS(Produtos!$A$5:$A$204,B47)&lt;&gt;1),"SKU ausente ou desconhecido",IF(COUNTIFS(Produtos!$A$5:$A$204,B47,Produtos!$R$5:$R$204,1)&gt;0,"Revisar cadastro do produto",IF(OR(NOT(ISNUMBER(E47)),E47&lt;=0,NOT(ISNUMBER(G47)),G47&lt;=0,G47&lt;E47),"Recebimento ou validade inválida",IF(AND(F47&lt;&gt;"",OR(NOT(ISNUMBER(F47)),F47&lt;=0,F47&gt;E47)),"Fabricação inválida ou posterior ao recebimento",IF(OR(NOT(ISNUMBER(K47)),K47&lt;0,NOT(ISNUMBER(I47)),I47&lt;0),"Quantidade recebida ou custo inválido",IF(AND(M47&lt;&gt;"Liberado",M47&lt;&gt;"Quarentena",M47&lt;&gt;"Bloqueado",M47&lt;&gt;"Esgotado"),"Status de lote inválido",""))))))))</x:f>
      </x:c>
      <x:c r="T47" s="163" t="n">
        <x:f>IF(A47="",0,COUNTIFS(Movimentacoes!$D$5:$D$304,A47,Movimentacoes!$P$5:$P$304,1))</x:f>
        <x:v>0</x:v>
      </x:c>
      <x:c r="U47" s="163" t="n">
        <x:f>IF(COUNTA(A47:B47,D47:G47,I47,K47,M47,Q47,AB47:AD47)=0,0,IF(OR(S47&lt;&gt;"",T47&gt;0),1,IF(ISNUMBER(J47),IF(OR(J47&lt;0,AND(J47&gt;0,M47="Esgotado")),1,0),0)))</x:f>
        <x:v>0</x:v>
      </x:c>
      <x:c r="V47" s="163" t="str">
        <x:f>IF(A47="","",IF(OR(U47&gt;0,Listas!$B$13&lt;&gt;"OK"),"n.a.",IF(AND(J47&gt;0,M47="Liberado",G47&gt;=Listas!$B$6),J47,0)))</x:f>
      </x:c>
      <x:c r="W47" s="163" t="str">
        <x:f>IF(A47="","",IF(OR(U47&gt;0,Listas!$B$13&lt;&gt;"OK"),"n.a.",V47*K47))</x:f>
      </x:c>
      <x:c r="X47" s="167" t="n">
        <x:f>IF(COUNTA(A47:B47,D47:G47,I47,K47,M47,Q47,AB47:AD47)=0,0,IF(OR(Listas!$B$19="Todos",B47=Listas!$B$19,COUNTIFS(Produtos!$A$5:$A$204,B47)&lt;&gt;1),1,0))</x:f>
        <x:v>0</x:v>
      </x:c>
      <x:c r="Y47" s="167" t="str">
        <x:f>IF(X47=0,"",IF(Listas!$B$13&lt;&gt;"OK","Revisar parâmetros",IF(U47&gt;0,IF(S47&lt;&gt;"",S47,IF(T47&gt;0,"Revisar movimentos",IF(AND(ISNUMBER(J47),J47&lt;0),"Saldo negativo","Status esgotado com saldo"))),IF(AG47&lt;&gt;"",AG47&amp;". ","")&amp;IF(J47&lt;=0,"",IF(N47="VENCIDO","Validade vencida. ","")&amp;IF(M47="Quarentena","Em quarentena. ","")&amp;IF(M47="Bloqueado","Lote bloqueado. ","")&amp;IF(N47="CRÍTICO","Validade crítica. ","")&amp;IF(N47="VENCE NA JANELA","Vence na janela. ","")))))</x:f>
      </x:c>
      <x:c r="Z47" s="167" t="n">
        <x:f>IF(OR(X47=0,Y47=""),0,IF(OR(Listas!$B$13&lt;&gt;"OK",U47&gt;0,AH47&gt;0),1,IF(N47="VENCIDO",2,IF(OR(M47="Quarentena",M47="Bloqueado"),3,IF(N47="CRÍTICO",4,5)))))</x:f>
        <x:v>0</x:v>
      </x:c>
      <x:c r="AA47" s="167" t="n">
        <x:f>IF(Z47=0,0,COUNTIFS($Z$5:$Z$204,"&gt;0",$Z$5:$Z$204,"&lt;"&amp;Z47,$X$5:$X$204,1)+COUNTIFS($Z$5:Z47,Z47,$X$5:X47,1))</x:f>
        <x:v>0</x:v>
      </x:c>
      <x:c r="AB47" s="168"/>
      <x:c r="AC47" s="168"/>
      <x:c r="AD47" s="169"/>
      <x:c r="AE47" s="167" t="str">
        <x:f>IF(X47=0,"",IF(OR(U47&gt;0,Listas!$B$13&lt;&gt;"OK"),"Dados pendentes",IF(J47&lt;=0,"Sem saldo",IF(N47="VENCIDO","Vencidos",IF(OR(M47="Quarentena",M47="Bloqueado"),"Restritos vigentes",IF(OR(N47="CRÍTICO",N47="VENCE NA JANELA"),"Liberados na janela","Demais liberados"))))))</x:f>
      </x:c>
      <x:c r="AF47" s="167" t="str">
        <x:f>IF(A47&lt;&gt;"",A47,IF(U47&gt;0,"Sem ID (linha "&amp;ROW()&amp;")",""))</x:f>
      </x:c>
      <x:c r="AG47" s="167" t="str">
        <x:f>IF(AD47="","",IF(OR(NOT(ISNUMBER(AD47)),AD47&lt;=0),"Prazo da ação inválido",""))</x:f>
      </x:c>
      <x:c r="AH47" s="167" t="n">
        <x:f>IF(AG47="",0,1)</x:f>
        <x:v>0</x:v>
      </x:c>
    </x:row>
    <x:row r="48" ht="32" customHeight="1">
      <x:c r="A48" s="27"/>
      <x:c r="B48" s="27"/>
      <x:c r="C48" s="40" t="str">
        <x:f>IF($B48="","",IFERROR(INDEX(Produtos!$B$5:$B$204,MATCH($B48,Produtos!$A$5:$A$204,0)),""))</x:f>
      </x:c>
      <x:c r="D48" s="170"/>
      <x:c r="E48" s="179"/>
      <x:c r="F48" s="179"/>
      <x:c r="G48" s="179"/>
      <x:c r="H48" s="40" t="str">
        <x:f>IF(A48="","",IF(OR(S48&lt;&gt;"",Listas!$B$13&lt;&gt;"OK"),"n.a.",G48-Listas!$B$6))</x:f>
      </x:c>
      <x:c r="I48" s="40"/>
      <x:c r="J48" s="40" t="str">
        <x:f>IF(A48="","",IF(OR(S48&lt;&gt;"",T48&gt;0,Listas!$B$13&lt;&gt;"OK"),"n.a.",SUMIFS(Movimentacoes!$H$5:$H$304,Movimentacoes!$D$5:$D$304,A48,Movimentacoes!$B$5:$B$304,"&lt;="&amp;Listas!$B$6)))</x:f>
      </x:c>
      <x:c r="K48" s="180"/>
      <x:c r="L48" s="181" t="str">
        <x:f>IF(A48="","",IF(OR(U48&gt;0,Listas!$B$13&lt;&gt;"OK"),"n.a.",J48*K48))</x:f>
      </x:c>
      <x:c r="M48" s="27"/>
      <x:c r="N48" s="40" t="str">
        <x:f>IF(A48="","",IF(OR(U48&gt;0,Listas!$B$13&lt;&gt;"OK"),"REVISAR DADOS",IF(J48=0,"SEM SALDO",IF(G48&lt;Listas!$B$6,"VENCIDO",IF(H48&lt;=Listas!$B$7,"CRÍTICO",IF(H48&lt;=Listas!$B$8,"VENCE NA JANELA","OK"))))))</x:f>
      </x:c>
      <x:c r="O48" s="41" t="str">
        <x:f>IF(A48="","",IF(AND(ISNUMBER(V48),V48&gt;0),G48,""))</x:f>
      </x:c>
      <x:c r="P48" s="40" t="str">
        <x:f>IF(A48="","",IF(OR(U48&gt;0,Listas!$B$13&lt;&gt;"OK"),"REVISAR DADOS",IF(J48=0,"ARQUIVAR LOTE",IF(M48="Quarentena","DECIDIR LIBERAÇÃO",IF(M48="Bloqueado","SEGREGAR E INVESTIGAR",IF(M48="Esgotado","REVISAR STATUS COM SALDO",IF(N48="VENCIDO","SEGREGAR E AVALIAR DESTINAÇÃO",IF(OR(N48="CRÍTICO",N48="VENCE NA JANELA"),"PRIORIZAR FEFO","MANTER ROTAÇÃO"))))))))</x:f>
      </x:c>
      <x:c r="Q48" s="27"/>
      <x:c r="R48" s="181" t="str">
        <x:f>IF(A48="","",IF(OR(U48&gt;0,Listas!$B$13&lt;&gt;"OK"),"n.a.",IF(OR(N48="VENCIDO",N48="CRÍTICO",N48="VENCE NA JANELA",M48="Quarentena",M48="Bloqueado"),L48,0)))</x:f>
      </x:c>
      <x:c r="S48" s="163" t="str">
        <x:f>IF(COUNTA(A48:B48,D48:G48,I48,K48,M48,Q48,AB48:AD48)=0,"",IF(OR(A48="",COUNTIFS($A$5:$A$204,A48)&lt;&gt;1),"Lote ausente ou duplicado",IF(OR(B48="",COUNTIFS(Produtos!$A$5:$A$204,B48)&lt;&gt;1),"SKU ausente ou desconhecido",IF(COUNTIFS(Produtos!$A$5:$A$204,B48,Produtos!$R$5:$R$204,1)&gt;0,"Revisar cadastro do produto",IF(OR(NOT(ISNUMBER(E48)),E48&lt;=0,NOT(ISNUMBER(G48)),G48&lt;=0,G48&lt;E48),"Recebimento ou validade inválida",IF(AND(F48&lt;&gt;"",OR(NOT(ISNUMBER(F48)),F48&lt;=0,F48&gt;E48)),"Fabricação inválida ou posterior ao recebimento",IF(OR(NOT(ISNUMBER(K48)),K48&lt;0,NOT(ISNUMBER(I48)),I48&lt;0),"Quantidade recebida ou custo inválido",IF(AND(M48&lt;&gt;"Liberado",M48&lt;&gt;"Quarentena",M48&lt;&gt;"Bloqueado",M48&lt;&gt;"Esgotado"),"Status de lote inválido",""))))))))</x:f>
      </x:c>
      <x:c r="T48" s="163" t="n">
        <x:f>IF(A48="",0,COUNTIFS(Movimentacoes!$D$5:$D$304,A48,Movimentacoes!$P$5:$P$304,1))</x:f>
        <x:v>0</x:v>
      </x:c>
      <x:c r="U48" s="163" t="n">
        <x:f>IF(COUNTA(A48:B48,D48:G48,I48,K48,M48,Q48,AB48:AD48)=0,0,IF(OR(S48&lt;&gt;"",T48&gt;0),1,IF(ISNUMBER(J48),IF(OR(J48&lt;0,AND(J48&gt;0,M48="Esgotado")),1,0),0)))</x:f>
        <x:v>0</x:v>
      </x:c>
      <x:c r="V48" s="163" t="str">
        <x:f>IF(A48="","",IF(OR(U48&gt;0,Listas!$B$13&lt;&gt;"OK"),"n.a.",IF(AND(J48&gt;0,M48="Liberado",G48&gt;=Listas!$B$6),J48,0)))</x:f>
      </x:c>
      <x:c r="W48" s="163" t="str">
        <x:f>IF(A48="","",IF(OR(U48&gt;0,Listas!$B$13&lt;&gt;"OK"),"n.a.",V48*K48))</x:f>
      </x:c>
      <x:c r="X48" s="167" t="n">
        <x:f>IF(COUNTA(A48:B48,D48:G48,I48,K48,M48,Q48,AB48:AD48)=0,0,IF(OR(Listas!$B$19="Todos",B48=Listas!$B$19,COUNTIFS(Produtos!$A$5:$A$204,B48)&lt;&gt;1),1,0))</x:f>
        <x:v>0</x:v>
      </x:c>
      <x:c r="Y48" s="167" t="str">
        <x:f>IF(X48=0,"",IF(Listas!$B$13&lt;&gt;"OK","Revisar parâmetros",IF(U48&gt;0,IF(S48&lt;&gt;"",S48,IF(T48&gt;0,"Revisar movimentos",IF(AND(ISNUMBER(J48),J48&lt;0),"Saldo negativo","Status esgotado com saldo"))),IF(AG48&lt;&gt;"",AG48&amp;". ","")&amp;IF(J48&lt;=0,"",IF(N48="VENCIDO","Validade vencida. ","")&amp;IF(M48="Quarentena","Em quarentena. ","")&amp;IF(M48="Bloqueado","Lote bloqueado. ","")&amp;IF(N48="CRÍTICO","Validade crítica. ","")&amp;IF(N48="VENCE NA JANELA","Vence na janela. ","")))))</x:f>
      </x:c>
      <x:c r="Z48" s="167" t="n">
        <x:f>IF(OR(X48=0,Y48=""),0,IF(OR(Listas!$B$13&lt;&gt;"OK",U48&gt;0,AH48&gt;0),1,IF(N48="VENCIDO",2,IF(OR(M48="Quarentena",M48="Bloqueado"),3,IF(N48="CRÍTICO",4,5)))))</x:f>
        <x:v>0</x:v>
      </x:c>
      <x:c r="AA48" s="167" t="n">
        <x:f>IF(Z48=0,0,COUNTIFS($Z$5:$Z$204,"&gt;0",$Z$5:$Z$204,"&lt;"&amp;Z48,$X$5:$X$204,1)+COUNTIFS($Z$5:Z48,Z48,$X$5:X48,1))</x:f>
        <x:v>0</x:v>
      </x:c>
      <x:c r="AB48" s="168"/>
      <x:c r="AC48" s="168"/>
      <x:c r="AD48" s="169"/>
      <x:c r="AE48" s="167" t="str">
        <x:f>IF(X48=0,"",IF(OR(U48&gt;0,Listas!$B$13&lt;&gt;"OK"),"Dados pendentes",IF(J48&lt;=0,"Sem saldo",IF(N48="VENCIDO","Vencidos",IF(OR(M48="Quarentena",M48="Bloqueado"),"Restritos vigentes",IF(OR(N48="CRÍTICO",N48="VENCE NA JANELA"),"Liberados na janela","Demais liberados"))))))</x:f>
      </x:c>
      <x:c r="AF48" s="167" t="str">
        <x:f>IF(A48&lt;&gt;"",A48,IF(U48&gt;0,"Sem ID (linha "&amp;ROW()&amp;")",""))</x:f>
      </x:c>
      <x:c r="AG48" s="167" t="str">
        <x:f>IF(AD48="","",IF(OR(NOT(ISNUMBER(AD48)),AD48&lt;=0),"Prazo da ação inválido",""))</x:f>
      </x:c>
      <x:c r="AH48" s="167" t="n">
        <x:f>IF(AG48="",0,1)</x:f>
        <x:v>0</x:v>
      </x:c>
    </x:row>
    <x:row r="49" ht="32" customHeight="1">
      <x:c r="A49" s="27"/>
      <x:c r="B49" s="27"/>
      <x:c r="C49" s="40" t="str">
        <x:f>IF($B49="","",IFERROR(INDEX(Produtos!$B$5:$B$204,MATCH($B49,Produtos!$A$5:$A$204,0)),""))</x:f>
      </x:c>
      <x:c r="D49" s="170"/>
      <x:c r="E49" s="179"/>
      <x:c r="F49" s="179"/>
      <x:c r="G49" s="179"/>
      <x:c r="H49" s="40" t="str">
        <x:f>IF(A49="","",IF(OR(S49&lt;&gt;"",Listas!$B$13&lt;&gt;"OK"),"n.a.",G49-Listas!$B$6))</x:f>
      </x:c>
      <x:c r="I49" s="40"/>
      <x:c r="J49" s="40" t="str">
        <x:f>IF(A49="","",IF(OR(S49&lt;&gt;"",T49&gt;0,Listas!$B$13&lt;&gt;"OK"),"n.a.",SUMIFS(Movimentacoes!$H$5:$H$304,Movimentacoes!$D$5:$D$304,A49,Movimentacoes!$B$5:$B$304,"&lt;="&amp;Listas!$B$6)))</x:f>
      </x:c>
      <x:c r="K49" s="180"/>
      <x:c r="L49" s="181" t="str">
        <x:f>IF(A49="","",IF(OR(U49&gt;0,Listas!$B$13&lt;&gt;"OK"),"n.a.",J49*K49))</x:f>
      </x:c>
      <x:c r="M49" s="27"/>
      <x:c r="N49" s="40" t="str">
        <x:f>IF(A49="","",IF(OR(U49&gt;0,Listas!$B$13&lt;&gt;"OK"),"REVISAR DADOS",IF(J49=0,"SEM SALDO",IF(G49&lt;Listas!$B$6,"VENCIDO",IF(H49&lt;=Listas!$B$7,"CRÍTICO",IF(H49&lt;=Listas!$B$8,"VENCE NA JANELA","OK"))))))</x:f>
      </x:c>
      <x:c r="O49" s="41" t="str">
        <x:f>IF(A49="","",IF(AND(ISNUMBER(V49),V49&gt;0),G49,""))</x:f>
      </x:c>
      <x:c r="P49" s="40" t="str">
        <x:f>IF(A49="","",IF(OR(U49&gt;0,Listas!$B$13&lt;&gt;"OK"),"REVISAR DADOS",IF(J49=0,"ARQUIVAR LOTE",IF(M49="Quarentena","DECIDIR LIBERAÇÃO",IF(M49="Bloqueado","SEGREGAR E INVESTIGAR",IF(M49="Esgotado","REVISAR STATUS COM SALDO",IF(N49="VENCIDO","SEGREGAR E AVALIAR DESTINAÇÃO",IF(OR(N49="CRÍTICO",N49="VENCE NA JANELA"),"PRIORIZAR FEFO","MANTER ROTAÇÃO"))))))))</x:f>
      </x:c>
      <x:c r="Q49" s="27"/>
      <x:c r="R49" s="181" t="str">
        <x:f>IF(A49="","",IF(OR(U49&gt;0,Listas!$B$13&lt;&gt;"OK"),"n.a.",IF(OR(N49="VENCIDO",N49="CRÍTICO",N49="VENCE NA JANELA",M49="Quarentena",M49="Bloqueado"),L49,0)))</x:f>
      </x:c>
      <x:c r="S49" s="163" t="str">
        <x:f>IF(COUNTA(A49:B49,D49:G49,I49,K49,M49,Q49,AB49:AD49)=0,"",IF(OR(A49="",COUNTIFS($A$5:$A$204,A49)&lt;&gt;1),"Lote ausente ou duplicado",IF(OR(B49="",COUNTIFS(Produtos!$A$5:$A$204,B49)&lt;&gt;1),"SKU ausente ou desconhecido",IF(COUNTIFS(Produtos!$A$5:$A$204,B49,Produtos!$R$5:$R$204,1)&gt;0,"Revisar cadastro do produto",IF(OR(NOT(ISNUMBER(E49)),E49&lt;=0,NOT(ISNUMBER(G49)),G49&lt;=0,G49&lt;E49),"Recebimento ou validade inválida",IF(AND(F49&lt;&gt;"",OR(NOT(ISNUMBER(F49)),F49&lt;=0,F49&gt;E49)),"Fabricação inválida ou posterior ao recebimento",IF(OR(NOT(ISNUMBER(K49)),K49&lt;0,NOT(ISNUMBER(I49)),I49&lt;0),"Quantidade recebida ou custo inválido",IF(AND(M49&lt;&gt;"Liberado",M49&lt;&gt;"Quarentena",M49&lt;&gt;"Bloqueado",M49&lt;&gt;"Esgotado"),"Status de lote inválido",""))))))))</x:f>
      </x:c>
      <x:c r="T49" s="163" t="n">
        <x:f>IF(A49="",0,COUNTIFS(Movimentacoes!$D$5:$D$304,A49,Movimentacoes!$P$5:$P$304,1))</x:f>
        <x:v>0</x:v>
      </x:c>
      <x:c r="U49" s="163" t="n">
        <x:f>IF(COUNTA(A49:B49,D49:G49,I49,K49,M49,Q49,AB49:AD49)=0,0,IF(OR(S49&lt;&gt;"",T49&gt;0),1,IF(ISNUMBER(J49),IF(OR(J49&lt;0,AND(J49&gt;0,M49="Esgotado")),1,0),0)))</x:f>
        <x:v>0</x:v>
      </x:c>
      <x:c r="V49" s="163" t="str">
        <x:f>IF(A49="","",IF(OR(U49&gt;0,Listas!$B$13&lt;&gt;"OK"),"n.a.",IF(AND(J49&gt;0,M49="Liberado",G49&gt;=Listas!$B$6),J49,0)))</x:f>
      </x:c>
      <x:c r="W49" s="163" t="str">
        <x:f>IF(A49="","",IF(OR(U49&gt;0,Listas!$B$13&lt;&gt;"OK"),"n.a.",V49*K49))</x:f>
      </x:c>
      <x:c r="X49" s="167" t="n">
        <x:f>IF(COUNTA(A49:B49,D49:G49,I49,K49,M49,Q49,AB49:AD49)=0,0,IF(OR(Listas!$B$19="Todos",B49=Listas!$B$19,COUNTIFS(Produtos!$A$5:$A$204,B49)&lt;&gt;1),1,0))</x:f>
        <x:v>0</x:v>
      </x:c>
      <x:c r="Y49" s="167" t="str">
        <x:f>IF(X49=0,"",IF(Listas!$B$13&lt;&gt;"OK","Revisar parâmetros",IF(U49&gt;0,IF(S49&lt;&gt;"",S49,IF(T49&gt;0,"Revisar movimentos",IF(AND(ISNUMBER(J49),J49&lt;0),"Saldo negativo","Status esgotado com saldo"))),IF(AG49&lt;&gt;"",AG49&amp;". ","")&amp;IF(J49&lt;=0,"",IF(N49="VENCIDO","Validade vencida. ","")&amp;IF(M49="Quarentena","Em quarentena. ","")&amp;IF(M49="Bloqueado","Lote bloqueado. ","")&amp;IF(N49="CRÍTICO","Validade crítica. ","")&amp;IF(N49="VENCE NA JANELA","Vence na janela. ","")))))</x:f>
      </x:c>
      <x:c r="Z49" s="167" t="n">
        <x:f>IF(OR(X49=0,Y49=""),0,IF(OR(Listas!$B$13&lt;&gt;"OK",U49&gt;0,AH49&gt;0),1,IF(N49="VENCIDO",2,IF(OR(M49="Quarentena",M49="Bloqueado"),3,IF(N49="CRÍTICO",4,5)))))</x:f>
        <x:v>0</x:v>
      </x:c>
      <x:c r="AA49" s="167" t="n">
        <x:f>IF(Z49=0,0,COUNTIFS($Z$5:$Z$204,"&gt;0",$Z$5:$Z$204,"&lt;"&amp;Z49,$X$5:$X$204,1)+COUNTIFS($Z$5:Z49,Z49,$X$5:X49,1))</x:f>
        <x:v>0</x:v>
      </x:c>
      <x:c r="AB49" s="168"/>
      <x:c r="AC49" s="168"/>
      <x:c r="AD49" s="169"/>
      <x:c r="AE49" s="167" t="str">
        <x:f>IF(X49=0,"",IF(OR(U49&gt;0,Listas!$B$13&lt;&gt;"OK"),"Dados pendentes",IF(J49&lt;=0,"Sem saldo",IF(N49="VENCIDO","Vencidos",IF(OR(M49="Quarentena",M49="Bloqueado"),"Restritos vigentes",IF(OR(N49="CRÍTICO",N49="VENCE NA JANELA"),"Liberados na janela","Demais liberados"))))))</x:f>
      </x:c>
      <x:c r="AF49" s="167" t="str">
        <x:f>IF(A49&lt;&gt;"",A49,IF(U49&gt;0,"Sem ID (linha "&amp;ROW()&amp;")",""))</x:f>
      </x:c>
      <x:c r="AG49" s="167" t="str">
        <x:f>IF(AD49="","",IF(OR(NOT(ISNUMBER(AD49)),AD49&lt;=0),"Prazo da ação inválido",""))</x:f>
      </x:c>
      <x:c r="AH49" s="167" t="n">
        <x:f>IF(AG49="",0,1)</x:f>
        <x:v>0</x:v>
      </x:c>
    </x:row>
    <x:row r="50" ht="32" customHeight="1">
      <x:c r="A50" s="27"/>
      <x:c r="B50" s="27"/>
      <x:c r="C50" s="40" t="str">
        <x:f>IF($B50="","",IFERROR(INDEX(Produtos!$B$5:$B$204,MATCH($B50,Produtos!$A$5:$A$204,0)),""))</x:f>
      </x:c>
      <x:c r="D50" s="170"/>
      <x:c r="E50" s="179"/>
      <x:c r="F50" s="179"/>
      <x:c r="G50" s="179"/>
      <x:c r="H50" s="40" t="str">
        <x:f>IF(A50="","",IF(OR(S50&lt;&gt;"",Listas!$B$13&lt;&gt;"OK"),"n.a.",G50-Listas!$B$6))</x:f>
      </x:c>
      <x:c r="I50" s="40"/>
      <x:c r="J50" s="40" t="str">
        <x:f>IF(A50="","",IF(OR(S50&lt;&gt;"",T50&gt;0,Listas!$B$13&lt;&gt;"OK"),"n.a.",SUMIFS(Movimentacoes!$H$5:$H$304,Movimentacoes!$D$5:$D$304,A50,Movimentacoes!$B$5:$B$304,"&lt;="&amp;Listas!$B$6)))</x:f>
      </x:c>
      <x:c r="K50" s="180"/>
      <x:c r="L50" s="181" t="str">
        <x:f>IF(A50="","",IF(OR(U50&gt;0,Listas!$B$13&lt;&gt;"OK"),"n.a.",J50*K50))</x:f>
      </x:c>
      <x:c r="M50" s="27"/>
      <x:c r="N50" s="40" t="str">
        <x:f>IF(A50="","",IF(OR(U50&gt;0,Listas!$B$13&lt;&gt;"OK"),"REVISAR DADOS",IF(J50=0,"SEM SALDO",IF(G50&lt;Listas!$B$6,"VENCIDO",IF(H50&lt;=Listas!$B$7,"CRÍTICO",IF(H50&lt;=Listas!$B$8,"VENCE NA JANELA","OK"))))))</x:f>
      </x:c>
      <x:c r="O50" s="41" t="str">
        <x:f>IF(A50="","",IF(AND(ISNUMBER(V50),V50&gt;0),G50,""))</x:f>
      </x:c>
      <x:c r="P50" s="40" t="str">
        <x:f>IF(A50="","",IF(OR(U50&gt;0,Listas!$B$13&lt;&gt;"OK"),"REVISAR DADOS",IF(J50=0,"ARQUIVAR LOTE",IF(M50="Quarentena","DECIDIR LIBERAÇÃO",IF(M50="Bloqueado","SEGREGAR E INVESTIGAR",IF(M50="Esgotado","REVISAR STATUS COM SALDO",IF(N50="VENCIDO","SEGREGAR E AVALIAR DESTINAÇÃO",IF(OR(N50="CRÍTICO",N50="VENCE NA JANELA"),"PRIORIZAR FEFO","MANTER ROTAÇÃO"))))))))</x:f>
      </x:c>
      <x:c r="Q50" s="27"/>
      <x:c r="R50" s="181" t="str">
        <x:f>IF(A50="","",IF(OR(U50&gt;0,Listas!$B$13&lt;&gt;"OK"),"n.a.",IF(OR(N50="VENCIDO",N50="CRÍTICO",N50="VENCE NA JANELA",M50="Quarentena",M50="Bloqueado"),L50,0)))</x:f>
      </x:c>
      <x:c r="S50" s="163" t="str">
        <x:f>IF(COUNTA(A50:B50,D50:G50,I50,K50,M50,Q50,AB50:AD50)=0,"",IF(OR(A50="",COUNTIFS($A$5:$A$204,A50)&lt;&gt;1),"Lote ausente ou duplicado",IF(OR(B50="",COUNTIFS(Produtos!$A$5:$A$204,B50)&lt;&gt;1),"SKU ausente ou desconhecido",IF(COUNTIFS(Produtos!$A$5:$A$204,B50,Produtos!$R$5:$R$204,1)&gt;0,"Revisar cadastro do produto",IF(OR(NOT(ISNUMBER(E50)),E50&lt;=0,NOT(ISNUMBER(G50)),G50&lt;=0,G50&lt;E50),"Recebimento ou validade inválida",IF(AND(F50&lt;&gt;"",OR(NOT(ISNUMBER(F50)),F50&lt;=0,F50&gt;E50)),"Fabricação inválida ou posterior ao recebimento",IF(OR(NOT(ISNUMBER(K50)),K50&lt;0,NOT(ISNUMBER(I50)),I50&lt;0),"Quantidade recebida ou custo inválido",IF(AND(M50&lt;&gt;"Liberado",M50&lt;&gt;"Quarentena",M50&lt;&gt;"Bloqueado",M50&lt;&gt;"Esgotado"),"Status de lote inválido",""))))))))</x:f>
      </x:c>
      <x:c r="T50" s="163" t="n">
        <x:f>IF(A50="",0,COUNTIFS(Movimentacoes!$D$5:$D$304,A50,Movimentacoes!$P$5:$P$304,1))</x:f>
        <x:v>0</x:v>
      </x:c>
      <x:c r="U50" s="163" t="n">
        <x:f>IF(COUNTA(A50:B50,D50:G50,I50,K50,M50,Q50,AB50:AD50)=0,0,IF(OR(S50&lt;&gt;"",T50&gt;0),1,IF(ISNUMBER(J50),IF(OR(J50&lt;0,AND(J50&gt;0,M50="Esgotado")),1,0),0)))</x:f>
        <x:v>0</x:v>
      </x:c>
      <x:c r="V50" s="163" t="str">
        <x:f>IF(A50="","",IF(OR(U50&gt;0,Listas!$B$13&lt;&gt;"OK"),"n.a.",IF(AND(J50&gt;0,M50="Liberado",G50&gt;=Listas!$B$6),J50,0)))</x:f>
      </x:c>
      <x:c r="W50" s="163" t="str">
        <x:f>IF(A50="","",IF(OR(U50&gt;0,Listas!$B$13&lt;&gt;"OK"),"n.a.",V50*K50))</x:f>
      </x:c>
      <x:c r="X50" s="167" t="n">
        <x:f>IF(COUNTA(A50:B50,D50:G50,I50,K50,M50,Q50,AB50:AD50)=0,0,IF(OR(Listas!$B$19="Todos",B50=Listas!$B$19,COUNTIFS(Produtos!$A$5:$A$204,B50)&lt;&gt;1),1,0))</x:f>
        <x:v>0</x:v>
      </x:c>
      <x:c r="Y50" s="167" t="str">
        <x:f>IF(X50=0,"",IF(Listas!$B$13&lt;&gt;"OK","Revisar parâmetros",IF(U50&gt;0,IF(S50&lt;&gt;"",S50,IF(T50&gt;0,"Revisar movimentos",IF(AND(ISNUMBER(J50),J50&lt;0),"Saldo negativo","Status esgotado com saldo"))),IF(AG50&lt;&gt;"",AG50&amp;". ","")&amp;IF(J50&lt;=0,"",IF(N50="VENCIDO","Validade vencida. ","")&amp;IF(M50="Quarentena","Em quarentena. ","")&amp;IF(M50="Bloqueado","Lote bloqueado. ","")&amp;IF(N50="CRÍTICO","Validade crítica. ","")&amp;IF(N50="VENCE NA JANELA","Vence na janela. ","")))))</x:f>
      </x:c>
      <x:c r="Z50" s="167" t="n">
        <x:f>IF(OR(X50=0,Y50=""),0,IF(OR(Listas!$B$13&lt;&gt;"OK",U50&gt;0,AH50&gt;0),1,IF(N50="VENCIDO",2,IF(OR(M50="Quarentena",M50="Bloqueado"),3,IF(N50="CRÍTICO",4,5)))))</x:f>
        <x:v>0</x:v>
      </x:c>
      <x:c r="AA50" s="167" t="n">
        <x:f>IF(Z50=0,0,COUNTIFS($Z$5:$Z$204,"&gt;0",$Z$5:$Z$204,"&lt;"&amp;Z50,$X$5:$X$204,1)+COUNTIFS($Z$5:Z50,Z50,$X$5:X50,1))</x:f>
        <x:v>0</x:v>
      </x:c>
      <x:c r="AB50" s="168"/>
      <x:c r="AC50" s="168"/>
      <x:c r="AD50" s="169"/>
      <x:c r="AE50" s="167" t="str">
        <x:f>IF(X50=0,"",IF(OR(U50&gt;0,Listas!$B$13&lt;&gt;"OK"),"Dados pendentes",IF(J50&lt;=0,"Sem saldo",IF(N50="VENCIDO","Vencidos",IF(OR(M50="Quarentena",M50="Bloqueado"),"Restritos vigentes",IF(OR(N50="CRÍTICO",N50="VENCE NA JANELA"),"Liberados na janela","Demais liberados"))))))</x:f>
      </x:c>
      <x:c r="AF50" s="167" t="str">
        <x:f>IF(A50&lt;&gt;"",A50,IF(U50&gt;0,"Sem ID (linha "&amp;ROW()&amp;")",""))</x:f>
      </x:c>
      <x:c r="AG50" s="167" t="str">
        <x:f>IF(AD50="","",IF(OR(NOT(ISNUMBER(AD50)),AD50&lt;=0),"Prazo da ação inválido",""))</x:f>
      </x:c>
      <x:c r="AH50" s="167" t="n">
        <x:f>IF(AG50="",0,1)</x:f>
        <x:v>0</x:v>
      </x:c>
    </x:row>
    <x:row r="51" ht="32" customHeight="1">
      <x:c r="A51" s="27"/>
      <x:c r="B51" s="27"/>
      <x:c r="C51" s="40" t="str">
        <x:f>IF($B51="","",IFERROR(INDEX(Produtos!$B$5:$B$204,MATCH($B51,Produtos!$A$5:$A$204,0)),""))</x:f>
      </x:c>
      <x:c r="D51" s="170"/>
      <x:c r="E51" s="179"/>
      <x:c r="F51" s="179"/>
      <x:c r="G51" s="179"/>
      <x:c r="H51" s="40" t="str">
        <x:f>IF(A51="","",IF(OR(S51&lt;&gt;"",Listas!$B$13&lt;&gt;"OK"),"n.a.",G51-Listas!$B$6))</x:f>
      </x:c>
      <x:c r="I51" s="40"/>
      <x:c r="J51" s="40" t="str">
        <x:f>IF(A51="","",IF(OR(S51&lt;&gt;"",T51&gt;0,Listas!$B$13&lt;&gt;"OK"),"n.a.",SUMIFS(Movimentacoes!$H$5:$H$304,Movimentacoes!$D$5:$D$304,A51,Movimentacoes!$B$5:$B$304,"&lt;="&amp;Listas!$B$6)))</x:f>
      </x:c>
      <x:c r="K51" s="180"/>
      <x:c r="L51" s="181" t="str">
        <x:f>IF(A51="","",IF(OR(U51&gt;0,Listas!$B$13&lt;&gt;"OK"),"n.a.",J51*K51))</x:f>
      </x:c>
      <x:c r="M51" s="27"/>
      <x:c r="N51" s="40" t="str">
        <x:f>IF(A51="","",IF(OR(U51&gt;0,Listas!$B$13&lt;&gt;"OK"),"REVISAR DADOS",IF(J51=0,"SEM SALDO",IF(G51&lt;Listas!$B$6,"VENCIDO",IF(H51&lt;=Listas!$B$7,"CRÍTICO",IF(H51&lt;=Listas!$B$8,"VENCE NA JANELA","OK"))))))</x:f>
      </x:c>
      <x:c r="O51" s="41" t="str">
        <x:f>IF(A51="","",IF(AND(ISNUMBER(V51),V51&gt;0),G51,""))</x:f>
      </x:c>
      <x:c r="P51" s="40" t="str">
        <x:f>IF(A51="","",IF(OR(U51&gt;0,Listas!$B$13&lt;&gt;"OK"),"REVISAR DADOS",IF(J51=0,"ARQUIVAR LOTE",IF(M51="Quarentena","DECIDIR LIBERAÇÃO",IF(M51="Bloqueado","SEGREGAR E INVESTIGAR",IF(M51="Esgotado","REVISAR STATUS COM SALDO",IF(N51="VENCIDO","SEGREGAR E AVALIAR DESTINAÇÃO",IF(OR(N51="CRÍTICO",N51="VENCE NA JANELA"),"PRIORIZAR FEFO","MANTER ROTAÇÃO"))))))))</x:f>
      </x:c>
      <x:c r="Q51" s="27"/>
      <x:c r="R51" s="181" t="str">
        <x:f>IF(A51="","",IF(OR(U51&gt;0,Listas!$B$13&lt;&gt;"OK"),"n.a.",IF(OR(N51="VENCIDO",N51="CRÍTICO",N51="VENCE NA JANELA",M51="Quarentena",M51="Bloqueado"),L51,0)))</x:f>
      </x:c>
      <x:c r="S51" s="163" t="str">
        <x:f>IF(COUNTA(A51:B51,D51:G51,I51,K51,M51,Q51,AB51:AD51)=0,"",IF(OR(A51="",COUNTIFS($A$5:$A$204,A51)&lt;&gt;1),"Lote ausente ou duplicado",IF(OR(B51="",COUNTIFS(Produtos!$A$5:$A$204,B51)&lt;&gt;1),"SKU ausente ou desconhecido",IF(COUNTIFS(Produtos!$A$5:$A$204,B51,Produtos!$R$5:$R$204,1)&gt;0,"Revisar cadastro do produto",IF(OR(NOT(ISNUMBER(E51)),E51&lt;=0,NOT(ISNUMBER(G51)),G51&lt;=0,G51&lt;E51),"Recebimento ou validade inválida",IF(AND(F51&lt;&gt;"",OR(NOT(ISNUMBER(F51)),F51&lt;=0,F51&gt;E51)),"Fabricação inválida ou posterior ao recebimento",IF(OR(NOT(ISNUMBER(K51)),K51&lt;0,NOT(ISNUMBER(I51)),I51&lt;0),"Quantidade recebida ou custo inválido",IF(AND(M51&lt;&gt;"Liberado",M51&lt;&gt;"Quarentena",M51&lt;&gt;"Bloqueado",M51&lt;&gt;"Esgotado"),"Status de lote inválido",""))))))))</x:f>
      </x:c>
      <x:c r="T51" s="163" t="n">
        <x:f>IF(A51="",0,COUNTIFS(Movimentacoes!$D$5:$D$304,A51,Movimentacoes!$P$5:$P$304,1))</x:f>
        <x:v>0</x:v>
      </x:c>
      <x:c r="U51" s="163" t="n">
        <x:f>IF(COUNTA(A51:B51,D51:G51,I51,K51,M51,Q51,AB51:AD51)=0,0,IF(OR(S51&lt;&gt;"",T51&gt;0),1,IF(ISNUMBER(J51),IF(OR(J51&lt;0,AND(J51&gt;0,M51="Esgotado")),1,0),0)))</x:f>
        <x:v>0</x:v>
      </x:c>
      <x:c r="V51" s="163" t="str">
        <x:f>IF(A51="","",IF(OR(U51&gt;0,Listas!$B$13&lt;&gt;"OK"),"n.a.",IF(AND(J51&gt;0,M51="Liberado",G51&gt;=Listas!$B$6),J51,0)))</x:f>
      </x:c>
      <x:c r="W51" s="163" t="str">
        <x:f>IF(A51="","",IF(OR(U51&gt;0,Listas!$B$13&lt;&gt;"OK"),"n.a.",V51*K51))</x:f>
      </x:c>
      <x:c r="X51" s="167" t="n">
        <x:f>IF(COUNTA(A51:B51,D51:G51,I51,K51,M51,Q51,AB51:AD51)=0,0,IF(OR(Listas!$B$19="Todos",B51=Listas!$B$19,COUNTIFS(Produtos!$A$5:$A$204,B51)&lt;&gt;1),1,0))</x:f>
        <x:v>0</x:v>
      </x:c>
      <x:c r="Y51" s="167" t="str">
        <x:f>IF(X51=0,"",IF(Listas!$B$13&lt;&gt;"OK","Revisar parâmetros",IF(U51&gt;0,IF(S51&lt;&gt;"",S51,IF(T51&gt;0,"Revisar movimentos",IF(AND(ISNUMBER(J51),J51&lt;0),"Saldo negativo","Status esgotado com saldo"))),IF(AG51&lt;&gt;"",AG51&amp;". ","")&amp;IF(J51&lt;=0,"",IF(N51="VENCIDO","Validade vencida. ","")&amp;IF(M51="Quarentena","Em quarentena. ","")&amp;IF(M51="Bloqueado","Lote bloqueado. ","")&amp;IF(N51="CRÍTICO","Validade crítica. ","")&amp;IF(N51="VENCE NA JANELA","Vence na janela. ","")))))</x:f>
      </x:c>
      <x:c r="Z51" s="167" t="n">
        <x:f>IF(OR(X51=0,Y51=""),0,IF(OR(Listas!$B$13&lt;&gt;"OK",U51&gt;0,AH51&gt;0),1,IF(N51="VENCIDO",2,IF(OR(M51="Quarentena",M51="Bloqueado"),3,IF(N51="CRÍTICO",4,5)))))</x:f>
        <x:v>0</x:v>
      </x:c>
      <x:c r="AA51" s="167" t="n">
        <x:f>IF(Z51=0,0,COUNTIFS($Z$5:$Z$204,"&gt;0",$Z$5:$Z$204,"&lt;"&amp;Z51,$X$5:$X$204,1)+COUNTIFS($Z$5:Z51,Z51,$X$5:X51,1))</x:f>
        <x:v>0</x:v>
      </x:c>
      <x:c r="AB51" s="168"/>
      <x:c r="AC51" s="168"/>
      <x:c r="AD51" s="169"/>
      <x:c r="AE51" s="167" t="str">
        <x:f>IF(X51=0,"",IF(OR(U51&gt;0,Listas!$B$13&lt;&gt;"OK"),"Dados pendentes",IF(J51&lt;=0,"Sem saldo",IF(N51="VENCIDO","Vencidos",IF(OR(M51="Quarentena",M51="Bloqueado"),"Restritos vigentes",IF(OR(N51="CRÍTICO",N51="VENCE NA JANELA"),"Liberados na janela","Demais liberados"))))))</x:f>
      </x:c>
      <x:c r="AF51" s="167" t="str">
        <x:f>IF(A51&lt;&gt;"",A51,IF(U51&gt;0,"Sem ID (linha "&amp;ROW()&amp;")",""))</x:f>
      </x:c>
      <x:c r="AG51" s="167" t="str">
        <x:f>IF(AD51="","",IF(OR(NOT(ISNUMBER(AD51)),AD51&lt;=0),"Prazo da ação inválido",""))</x:f>
      </x:c>
      <x:c r="AH51" s="167" t="n">
        <x:f>IF(AG51="",0,1)</x:f>
        <x:v>0</x:v>
      </x:c>
    </x:row>
    <x:row r="52" ht="32" customHeight="1">
      <x:c r="A52" s="27"/>
      <x:c r="B52" s="27"/>
      <x:c r="C52" s="40" t="str">
        <x:f>IF($B52="","",IFERROR(INDEX(Produtos!$B$5:$B$204,MATCH($B52,Produtos!$A$5:$A$204,0)),""))</x:f>
      </x:c>
      <x:c r="D52" s="170"/>
      <x:c r="E52" s="179"/>
      <x:c r="F52" s="179"/>
      <x:c r="G52" s="179"/>
      <x:c r="H52" s="40" t="str">
        <x:f>IF(A52="","",IF(OR(S52&lt;&gt;"",Listas!$B$13&lt;&gt;"OK"),"n.a.",G52-Listas!$B$6))</x:f>
      </x:c>
      <x:c r="I52" s="40"/>
      <x:c r="J52" s="40" t="str">
        <x:f>IF(A52="","",IF(OR(S52&lt;&gt;"",T52&gt;0,Listas!$B$13&lt;&gt;"OK"),"n.a.",SUMIFS(Movimentacoes!$H$5:$H$304,Movimentacoes!$D$5:$D$304,A52,Movimentacoes!$B$5:$B$304,"&lt;="&amp;Listas!$B$6)))</x:f>
      </x:c>
      <x:c r="K52" s="180"/>
      <x:c r="L52" s="181" t="str">
        <x:f>IF(A52="","",IF(OR(U52&gt;0,Listas!$B$13&lt;&gt;"OK"),"n.a.",J52*K52))</x:f>
      </x:c>
      <x:c r="M52" s="27"/>
      <x:c r="N52" s="40" t="str">
        <x:f>IF(A52="","",IF(OR(U52&gt;0,Listas!$B$13&lt;&gt;"OK"),"REVISAR DADOS",IF(J52=0,"SEM SALDO",IF(G52&lt;Listas!$B$6,"VENCIDO",IF(H52&lt;=Listas!$B$7,"CRÍTICO",IF(H52&lt;=Listas!$B$8,"VENCE NA JANELA","OK"))))))</x:f>
      </x:c>
      <x:c r="O52" s="41" t="str">
        <x:f>IF(A52="","",IF(AND(ISNUMBER(V52),V52&gt;0),G52,""))</x:f>
      </x:c>
      <x:c r="P52" s="40" t="str">
        <x:f>IF(A52="","",IF(OR(U52&gt;0,Listas!$B$13&lt;&gt;"OK"),"REVISAR DADOS",IF(J52=0,"ARQUIVAR LOTE",IF(M52="Quarentena","DECIDIR LIBERAÇÃO",IF(M52="Bloqueado","SEGREGAR E INVESTIGAR",IF(M52="Esgotado","REVISAR STATUS COM SALDO",IF(N52="VENCIDO","SEGREGAR E AVALIAR DESTINAÇÃO",IF(OR(N52="CRÍTICO",N52="VENCE NA JANELA"),"PRIORIZAR FEFO","MANTER ROTAÇÃO"))))))))</x:f>
      </x:c>
      <x:c r="Q52" s="27"/>
      <x:c r="R52" s="181" t="str">
        <x:f>IF(A52="","",IF(OR(U52&gt;0,Listas!$B$13&lt;&gt;"OK"),"n.a.",IF(OR(N52="VENCIDO",N52="CRÍTICO",N52="VENCE NA JANELA",M52="Quarentena",M52="Bloqueado"),L52,0)))</x:f>
      </x:c>
      <x:c r="S52" s="163" t="str">
        <x:f>IF(COUNTA(A52:B52,D52:G52,I52,K52,M52,Q52,AB52:AD52)=0,"",IF(OR(A52="",COUNTIFS($A$5:$A$204,A52)&lt;&gt;1),"Lote ausente ou duplicado",IF(OR(B52="",COUNTIFS(Produtos!$A$5:$A$204,B52)&lt;&gt;1),"SKU ausente ou desconhecido",IF(COUNTIFS(Produtos!$A$5:$A$204,B52,Produtos!$R$5:$R$204,1)&gt;0,"Revisar cadastro do produto",IF(OR(NOT(ISNUMBER(E52)),E52&lt;=0,NOT(ISNUMBER(G52)),G52&lt;=0,G52&lt;E52),"Recebimento ou validade inválida",IF(AND(F52&lt;&gt;"",OR(NOT(ISNUMBER(F52)),F52&lt;=0,F52&gt;E52)),"Fabricação inválida ou posterior ao recebimento",IF(OR(NOT(ISNUMBER(K52)),K52&lt;0,NOT(ISNUMBER(I52)),I52&lt;0),"Quantidade recebida ou custo inválido",IF(AND(M52&lt;&gt;"Liberado",M52&lt;&gt;"Quarentena",M52&lt;&gt;"Bloqueado",M52&lt;&gt;"Esgotado"),"Status de lote inválido",""))))))))</x:f>
      </x:c>
      <x:c r="T52" s="163" t="n">
        <x:f>IF(A52="",0,COUNTIFS(Movimentacoes!$D$5:$D$304,A52,Movimentacoes!$P$5:$P$304,1))</x:f>
        <x:v>0</x:v>
      </x:c>
      <x:c r="U52" s="163" t="n">
        <x:f>IF(COUNTA(A52:B52,D52:G52,I52,K52,M52,Q52,AB52:AD52)=0,0,IF(OR(S52&lt;&gt;"",T52&gt;0),1,IF(ISNUMBER(J52),IF(OR(J52&lt;0,AND(J52&gt;0,M52="Esgotado")),1,0),0)))</x:f>
        <x:v>0</x:v>
      </x:c>
      <x:c r="V52" s="163" t="str">
        <x:f>IF(A52="","",IF(OR(U52&gt;0,Listas!$B$13&lt;&gt;"OK"),"n.a.",IF(AND(J52&gt;0,M52="Liberado",G52&gt;=Listas!$B$6),J52,0)))</x:f>
      </x:c>
      <x:c r="W52" s="163" t="str">
        <x:f>IF(A52="","",IF(OR(U52&gt;0,Listas!$B$13&lt;&gt;"OK"),"n.a.",V52*K52))</x:f>
      </x:c>
      <x:c r="X52" s="167" t="n">
        <x:f>IF(COUNTA(A52:B52,D52:G52,I52,K52,M52,Q52,AB52:AD52)=0,0,IF(OR(Listas!$B$19="Todos",B52=Listas!$B$19,COUNTIFS(Produtos!$A$5:$A$204,B52)&lt;&gt;1),1,0))</x:f>
        <x:v>0</x:v>
      </x:c>
      <x:c r="Y52" s="167" t="str">
        <x:f>IF(X52=0,"",IF(Listas!$B$13&lt;&gt;"OK","Revisar parâmetros",IF(U52&gt;0,IF(S52&lt;&gt;"",S52,IF(T52&gt;0,"Revisar movimentos",IF(AND(ISNUMBER(J52),J52&lt;0),"Saldo negativo","Status esgotado com saldo"))),IF(AG52&lt;&gt;"",AG52&amp;". ","")&amp;IF(J52&lt;=0,"",IF(N52="VENCIDO","Validade vencida. ","")&amp;IF(M52="Quarentena","Em quarentena. ","")&amp;IF(M52="Bloqueado","Lote bloqueado. ","")&amp;IF(N52="CRÍTICO","Validade crítica. ","")&amp;IF(N52="VENCE NA JANELA","Vence na janela. ","")))))</x:f>
      </x:c>
      <x:c r="Z52" s="167" t="n">
        <x:f>IF(OR(X52=0,Y52=""),0,IF(OR(Listas!$B$13&lt;&gt;"OK",U52&gt;0,AH52&gt;0),1,IF(N52="VENCIDO",2,IF(OR(M52="Quarentena",M52="Bloqueado"),3,IF(N52="CRÍTICO",4,5)))))</x:f>
        <x:v>0</x:v>
      </x:c>
      <x:c r="AA52" s="167" t="n">
        <x:f>IF(Z52=0,0,COUNTIFS($Z$5:$Z$204,"&gt;0",$Z$5:$Z$204,"&lt;"&amp;Z52,$X$5:$X$204,1)+COUNTIFS($Z$5:Z52,Z52,$X$5:X52,1))</x:f>
        <x:v>0</x:v>
      </x:c>
      <x:c r="AB52" s="168"/>
      <x:c r="AC52" s="168"/>
      <x:c r="AD52" s="169"/>
      <x:c r="AE52" s="167" t="str">
        <x:f>IF(X52=0,"",IF(OR(U52&gt;0,Listas!$B$13&lt;&gt;"OK"),"Dados pendentes",IF(J52&lt;=0,"Sem saldo",IF(N52="VENCIDO","Vencidos",IF(OR(M52="Quarentena",M52="Bloqueado"),"Restritos vigentes",IF(OR(N52="CRÍTICO",N52="VENCE NA JANELA"),"Liberados na janela","Demais liberados"))))))</x:f>
      </x:c>
      <x:c r="AF52" s="167" t="str">
        <x:f>IF(A52&lt;&gt;"",A52,IF(U52&gt;0,"Sem ID (linha "&amp;ROW()&amp;")",""))</x:f>
      </x:c>
      <x:c r="AG52" s="167" t="str">
        <x:f>IF(AD52="","",IF(OR(NOT(ISNUMBER(AD52)),AD52&lt;=0),"Prazo da ação inválido",""))</x:f>
      </x:c>
      <x:c r="AH52" s="167" t="n">
        <x:f>IF(AG52="",0,1)</x:f>
        <x:v>0</x:v>
      </x:c>
    </x:row>
    <x:row r="53" ht="32" customHeight="1">
      <x:c r="A53" s="27"/>
      <x:c r="B53" s="27"/>
      <x:c r="C53" s="40" t="str">
        <x:f>IF($B53="","",IFERROR(INDEX(Produtos!$B$5:$B$204,MATCH($B53,Produtos!$A$5:$A$204,0)),""))</x:f>
      </x:c>
      <x:c r="D53" s="170"/>
      <x:c r="E53" s="179"/>
      <x:c r="F53" s="179"/>
      <x:c r="G53" s="179"/>
      <x:c r="H53" s="40" t="str">
        <x:f>IF(A53="","",IF(OR(S53&lt;&gt;"",Listas!$B$13&lt;&gt;"OK"),"n.a.",G53-Listas!$B$6))</x:f>
      </x:c>
      <x:c r="I53" s="40"/>
      <x:c r="J53" s="40" t="str">
        <x:f>IF(A53="","",IF(OR(S53&lt;&gt;"",T53&gt;0,Listas!$B$13&lt;&gt;"OK"),"n.a.",SUMIFS(Movimentacoes!$H$5:$H$304,Movimentacoes!$D$5:$D$304,A53,Movimentacoes!$B$5:$B$304,"&lt;="&amp;Listas!$B$6)))</x:f>
      </x:c>
      <x:c r="K53" s="180"/>
      <x:c r="L53" s="181" t="str">
        <x:f>IF(A53="","",IF(OR(U53&gt;0,Listas!$B$13&lt;&gt;"OK"),"n.a.",J53*K53))</x:f>
      </x:c>
      <x:c r="M53" s="27"/>
      <x:c r="N53" s="40" t="str">
        <x:f>IF(A53="","",IF(OR(U53&gt;0,Listas!$B$13&lt;&gt;"OK"),"REVISAR DADOS",IF(J53=0,"SEM SALDO",IF(G53&lt;Listas!$B$6,"VENCIDO",IF(H53&lt;=Listas!$B$7,"CRÍTICO",IF(H53&lt;=Listas!$B$8,"VENCE NA JANELA","OK"))))))</x:f>
      </x:c>
      <x:c r="O53" s="41" t="str">
        <x:f>IF(A53="","",IF(AND(ISNUMBER(V53),V53&gt;0),G53,""))</x:f>
      </x:c>
      <x:c r="P53" s="40" t="str">
        <x:f>IF(A53="","",IF(OR(U53&gt;0,Listas!$B$13&lt;&gt;"OK"),"REVISAR DADOS",IF(J53=0,"ARQUIVAR LOTE",IF(M53="Quarentena","DECIDIR LIBERAÇÃO",IF(M53="Bloqueado","SEGREGAR E INVESTIGAR",IF(M53="Esgotado","REVISAR STATUS COM SALDO",IF(N53="VENCIDO","SEGREGAR E AVALIAR DESTINAÇÃO",IF(OR(N53="CRÍTICO",N53="VENCE NA JANELA"),"PRIORIZAR FEFO","MANTER ROTAÇÃO"))))))))</x:f>
      </x:c>
      <x:c r="Q53" s="27"/>
      <x:c r="R53" s="181" t="str">
        <x:f>IF(A53="","",IF(OR(U53&gt;0,Listas!$B$13&lt;&gt;"OK"),"n.a.",IF(OR(N53="VENCIDO",N53="CRÍTICO",N53="VENCE NA JANELA",M53="Quarentena",M53="Bloqueado"),L53,0)))</x:f>
      </x:c>
      <x:c r="S53" s="163" t="str">
        <x:f>IF(COUNTA(A53:B53,D53:G53,I53,K53,M53,Q53,AB53:AD53)=0,"",IF(OR(A53="",COUNTIFS($A$5:$A$204,A53)&lt;&gt;1),"Lote ausente ou duplicado",IF(OR(B53="",COUNTIFS(Produtos!$A$5:$A$204,B53)&lt;&gt;1),"SKU ausente ou desconhecido",IF(COUNTIFS(Produtos!$A$5:$A$204,B53,Produtos!$R$5:$R$204,1)&gt;0,"Revisar cadastro do produto",IF(OR(NOT(ISNUMBER(E53)),E53&lt;=0,NOT(ISNUMBER(G53)),G53&lt;=0,G53&lt;E53),"Recebimento ou validade inválida",IF(AND(F53&lt;&gt;"",OR(NOT(ISNUMBER(F53)),F53&lt;=0,F53&gt;E53)),"Fabricação inválida ou posterior ao recebimento",IF(OR(NOT(ISNUMBER(K53)),K53&lt;0,NOT(ISNUMBER(I53)),I53&lt;0),"Quantidade recebida ou custo inválido",IF(AND(M53&lt;&gt;"Liberado",M53&lt;&gt;"Quarentena",M53&lt;&gt;"Bloqueado",M53&lt;&gt;"Esgotado"),"Status de lote inválido",""))))))))</x:f>
      </x:c>
      <x:c r="T53" s="163" t="n">
        <x:f>IF(A53="",0,COUNTIFS(Movimentacoes!$D$5:$D$304,A53,Movimentacoes!$P$5:$P$304,1))</x:f>
        <x:v>0</x:v>
      </x:c>
      <x:c r="U53" s="163" t="n">
        <x:f>IF(COUNTA(A53:B53,D53:G53,I53,K53,M53,Q53,AB53:AD53)=0,0,IF(OR(S53&lt;&gt;"",T53&gt;0),1,IF(ISNUMBER(J53),IF(OR(J53&lt;0,AND(J53&gt;0,M53="Esgotado")),1,0),0)))</x:f>
        <x:v>0</x:v>
      </x:c>
      <x:c r="V53" s="163" t="str">
        <x:f>IF(A53="","",IF(OR(U53&gt;0,Listas!$B$13&lt;&gt;"OK"),"n.a.",IF(AND(J53&gt;0,M53="Liberado",G53&gt;=Listas!$B$6),J53,0)))</x:f>
      </x:c>
      <x:c r="W53" s="163" t="str">
        <x:f>IF(A53="","",IF(OR(U53&gt;0,Listas!$B$13&lt;&gt;"OK"),"n.a.",V53*K53))</x:f>
      </x:c>
      <x:c r="X53" s="167" t="n">
        <x:f>IF(COUNTA(A53:B53,D53:G53,I53,K53,M53,Q53,AB53:AD53)=0,0,IF(OR(Listas!$B$19="Todos",B53=Listas!$B$19,COUNTIFS(Produtos!$A$5:$A$204,B53)&lt;&gt;1),1,0))</x:f>
        <x:v>0</x:v>
      </x:c>
      <x:c r="Y53" s="167" t="str">
        <x:f>IF(X53=0,"",IF(Listas!$B$13&lt;&gt;"OK","Revisar parâmetros",IF(U53&gt;0,IF(S53&lt;&gt;"",S53,IF(T53&gt;0,"Revisar movimentos",IF(AND(ISNUMBER(J53),J53&lt;0),"Saldo negativo","Status esgotado com saldo"))),IF(AG53&lt;&gt;"",AG53&amp;". ","")&amp;IF(J53&lt;=0,"",IF(N53="VENCIDO","Validade vencida. ","")&amp;IF(M53="Quarentena","Em quarentena. ","")&amp;IF(M53="Bloqueado","Lote bloqueado. ","")&amp;IF(N53="CRÍTICO","Validade crítica. ","")&amp;IF(N53="VENCE NA JANELA","Vence na janela. ","")))))</x:f>
      </x:c>
      <x:c r="Z53" s="167" t="n">
        <x:f>IF(OR(X53=0,Y53=""),0,IF(OR(Listas!$B$13&lt;&gt;"OK",U53&gt;0,AH53&gt;0),1,IF(N53="VENCIDO",2,IF(OR(M53="Quarentena",M53="Bloqueado"),3,IF(N53="CRÍTICO",4,5)))))</x:f>
        <x:v>0</x:v>
      </x:c>
      <x:c r="AA53" s="167" t="n">
        <x:f>IF(Z53=0,0,COUNTIFS($Z$5:$Z$204,"&gt;0",$Z$5:$Z$204,"&lt;"&amp;Z53,$X$5:$X$204,1)+COUNTIFS($Z$5:Z53,Z53,$X$5:X53,1))</x:f>
        <x:v>0</x:v>
      </x:c>
      <x:c r="AB53" s="168"/>
      <x:c r="AC53" s="168"/>
      <x:c r="AD53" s="169"/>
      <x:c r="AE53" s="167" t="str">
        <x:f>IF(X53=0,"",IF(OR(U53&gt;0,Listas!$B$13&lt;&gt;"OK"),"Dados pendentes",IF(J53&lt;=0,"Sem saldo",IF(N53="VENCIDO","Vencidos",IF(OR(M53="Quarentena",M53="Bloqueado"),"Restritos vigentes",IF(OR(N53="CRÍTICO",N53="VENCE NA JANELA"),"Liberados na janela","Demais liberados"))))))</x:f>
      </x:c>
      <x:c r="AF53" s="167" t="str">
        <x:f>IF(A53&lt;&gt;"",A53,IF(U53&gt;0,"Sem ID (linha "&amp;ROW()&amp;")",""))</x:f>
      </x:c>
      <x:c r="AG53" s="167" t="str">
        <x:f>IF(AD53="","",IF(OR(NOT(ISNUMBER(AD53)),AD53&lt;=0),"Prazo da ação inválido",""))</x:f>
      </x:c>
      <x:c r="AH53" s="167" t="n">
        <x:f>IF(AG53="",0,1)</x:f>
        <x:v>0</x:v>
      </x:c>
    </x:row>
    <x:row r="54" ht="32" customHeight="1">
      <x:c r="A54" s="27"/>
      <x:c r="B54" s="27"/>
      <x:c r="C54" s="40" t="str">
        <x:f>IF($B54="","",IFERROR(INDEX(Produtos!$B$5:$B$204,MATCH($B54,Produtos!$A$5:$A$204,0)),""))</x:f>
      </x:c>
      <x:c r="D54" s="170"/>
      <x:c r="E54" s="179"/>
      <x:c r="F54" s="179"/>
      <x:c r="G54" s="179"/>
      <x:c r="H54" s="40" t="str">
        <x:f>IF(A54="","",IF(OR(S54&lt;&gt;"",Listas!$B$13&lt;&gt;"OK"),"n.a.",G54-Listas!$B$6))</x:f>
      </x:c>
      <x:c r="I54" s="40"/>
      <x:c r="J54" s="40" t="str">
        <x:f>IF(A54="","",IF(OR(S54&lt;&gt;"",T54&gt;0,Listas!$B$13&lt;&gt;"OK"),"n.a.",SUMIFS(Movimentacoes!$H$5:$H$304,Movimentacoes!$D$5:$D$304,A54,Movimentacoes!$B$5:$B$304,"&lt;="&amp;Listas!$B$6)))</x:f>
      </x:c>
      <x:c r="K54" s="180"/>
      <x:c r="L54" s="181" t="str">
        <x:f>IF(A54="","",IF(OR(U54&gt;0,Listas!$B$13&lt;&gt;"OK"),"n.a.",J54*K54))</x:f>
      </x:c>
      <x:c r="M54" s="27"/>
      <x:c r="N54" s="40" t="str">
        <x:f>IF(A54="","",IF(OR(U54&gt;0,Listas!$B$13&lt;&gt;"OK"),"REVISAR DADOS",IF(J54=0,"SEM SALDO",IF(G54&lt;Listas!$B$6,"VENCIDO",IF(H54&lt;=Listas!$B$7,"CRÍTICO",IF(H54&lt;=Listas!$B$8,"VENCE NA JANELA","OK"))))))</x:f>
      </x:c>
      <x:c r="O54" s="41" t="str">
        <x:f>IF(A54="","",IF(AND(ISNUMBER(V54),V54&gt;0),G54,""))</x:f>
      </x:c>
      <x:c r="P54" s="40" t="str">
        <x:f>IF(A54="","",IF(OR(U54&gt;0,Listas!$B$13&lt;&gt;"OK"),"REVISAR DADOS",IF(J54=0,"ARQUIVAR LOTE",IF(M54="Quarentena","DECIDIR LIBERAÇÃO",IF(M54="Bloqueado","SEGREGAR E INVESTIGAR",IF(M54="Esgotado","REVISAR STATUS COM SALDO",IF(N54="VENCIDO","SEGREGAR E AVALIAR DESTINAÇÃO",IF(OR(N54="CRÍTICO",N54="VENCE NA JANELA"),"PRIORIZAR FEFO","MANTER ROTAÇÃO"))))))))</x:f>
      </x:c>
      <x:c r="Q54" s="27"/>
      <x:c r="R54" s="181" t="str">
        <x:f>IF(A54="","",IF(OR(U54&gt;0,Listas!$B$13&lt;&gt;"OK"),"n.a.",IF(OR(N54="VENCIDO",N54="CRÍTICO",N54="VENCE NA JANELA",M54="Quarentena",M54="Bloqueado"),L54,0)))</x:f>
      </x:c>
      <x:c r="S54" s="163" t="str">
        <x:f>IF(COUNTA(A54:B54,D54:G54,I54,K54,M54,Q54,AB54:AD54)=0,"",IF(OR(A54="",COUNTIFS($A$5:$A$204,A54)&lt;&gt;1),"Lote ausente ou duplicado",IF(OR(B54="",COUNTIFS(Produtos!$A$5:$A$204,B54)&lt;&gt;1),"SKU ausente ou desconhecido",IF(COUNTIFS(Produtos!$A$5:$A$204,B54,Produtos!$R$5:$R$204,1)&gt;0,"Revisar cadastro do produto",IF(OR(NOT(ISNUMBER(E54)),E54&lt;=0,NOT(ISNUMBER(G54)),G54&lt;=0,G54&lt;E54),"Recebimento ou validade inválida",IF(AND(F54&lt;&gt;"",OR(NOT(ISNUMBER(F54)),F54&lt;=0,F54&gt;E54)),"Fabricação inválida ou posterior ao recebimento",IF(OR(NOT(ISNUMBER(K54)),K54&lt;0,NOT(ISNUMBER(I54)),I54&lt;0),"Quantidade recebida ou custo inválido",IF(AND(M54&lt;&gt;"Liberado",M54&lt;&gt;"Quarentena",M54&lt;&gt;"Bloqueado",M54&lt;&gt;"Esgotado"),"Status de lote inválido",""))))))))</x:f>
      </x:c>
      <x:c r="T54" s="163" t="n">
        <x:f>IF(A54="",0,COUNTIFS(Movimentacoes!$D$5:$D$304,A54,Movimentacoes!$P$5:$P$304,1))</x:f>
        <x:v>0</x:v>
      </x:c>
      <x:c r="U54" s="163" t="n">
        <x:f>IF(COUNTA(A54:B54,D54:G54,I54,K54,M54,Q54,AB54:AD54)=0,0,IF(OR(S54&lt;&gt;"",T54&gt;0),1,IF(ISNUMBER(J54),IF(OR(J54&lt;0,AND(J54&gt;0,M54="Esgotado")),1,0),0)))</x:f>
        <x:v>0</x:v>
      </x:c>
      <x:c r="V54" s="163" t="str">
        <x:f>IF(A54="","",IF(OR(U54&gt;0,Listas!$B$13&lt;&gt;"OK"),"n.a.",IF(AND(J54&gt;0,M54="Liberado",G54&gt;=Listas!$B$6),J54,0)))</x:f>
      </x:c>
      <x:c r="W54" s="163" t="str">
        <x:f>IF(A54="","",IF(OR(U54&gt;0,Listas!$B$13&lt;&gt;"OK"),"n.a.",V54*K54))</x:f>
      </x:c>
      <x:c r="X54" s="167" t="n">
        <x:f>IF(COUNTA(A54:B54,D54:G54,I54,K54,M54,Q54,AB54:AD54)=0,0,IF(OR(Listas!$B$19="Todos",B54=Listas!$B$19,COUNTIFS(Produtos!$A$5:$A$204,B54)&lt;&gt;1),1,0))</x:f>
        <x:v>0</x:v>
      </x:c>
      <x:c r="Y54" s="167" t="str">
        <x:f>IF(X54=0,"",IF(Listas!$B$13&lt;&gt;"OK","Revisar parâmetros",IF(U54&gt;0,IF(S54&lt;&gt;"",S54,IF(T54&gt;0,"Revisar movimentos",IF(AND(ISNUMBER(J54),J54&lt;0),"Saldo negativo","Status esgotado com saldo"))),IF(AG54&lt;&gt;"",AG54&amp;". ","")&amp;IF(J54&lt;=0,"",IF(N54="VENCIDO","Validade vencida. ","")&amp;IF(M54="Quarentena","Em quarentena. ","")&amp;IF(M54="Bloqueado","Lote bloqueado. ","")&amp;IF(N54="CRÍTICO","Validade crítica. ","")&amp;IF(N54="VENCE NA JANELA","Vence na janela. ","")))))</x:f>
      </x:c>
      <x:c r="Z54" s="167" t="n">
        <x:f>IF(OR(X54=0,Y54=""),0,IF(OR(Listas!$B$13&lt;&gt;"OK",U54&gt;0,AH54&gt;0),1,IF(N54="VENCIDO",2,IF(OR(M54="Quarentena",M54="Bloqueado"),3,IF(N54="CRÍTICO",4,5)))))</x:f>
        <x:v>0</x:v>
      </x:c>
      <x:c r="AA54" s="167" t="n">
        <x:f>IF(Z54=0,0,COUNTIFS($Z$5:$Z$204,"&gt;0",$Z$5:$Z$204,"&lt;"&amp;Z54,$X$5:$X$204,1)+COUNTIFS($Z$5:Z54,Z54,$X$5:X54,1))</x:f>
        <x:v>0</x:v>
      </x:c>
      <x:c r="AB54" s="168"/>
      <x:c r="AC54" s="168"/>
      <x:c r="AD54" s="169"/>
      <x:c r="AE54" s="167" t="str">
        <x:f>IF(X54=0,"",IF(OR(U54&gt;0,Listas!$B$13&lt;&gt;"OK"),"Dados pendentes",IF(J54&lt;=0,"Sem saldo",IF(N54="VENCIDO","Vencidos",IF(OR(M54="Quarentena",M54="Bloqueado"),"Restritos vigentes",IF(OR(N54="CRÍTICO",N54="VENCE NA JANELA"),"Liberados na janela","Demais liberados"))))))</x:f>
      </x:c>
      <x:c r="AF54" s="167" t="str">
        <x:f>IF(A54&lt;&gt;"",A54,IF(U54&gt;0,"Sem ID (linha "&amp;ROW()&amp;")",""))</x:f>
      </x:c>
      <x:c r="AG54" s="167" t="str">
        <x:f>IF(AD54="","",IF(OR(NOT(ISNUMBER(AD54)),AD54&lt;=0),"Prazo da ação inválido",""))</x:f>
      </x:c>
      <x:c r="AH54" s="167" t="n">
        <x:f>IF(AG54="",0,1)</x:f>
        <x:v>0</x:v>
      </x:c>
    </x:row>
    <x:row r="55" ht="32" customHeight="1">
      <x:c r="A55" s="27"/>
      <x:c r="B55" s="27"/>
      <x:c r="C55" s="40" t="str">
        <x:f>IF($B55="","",IFERROR(INDEX(Produtos!$B$5:$B$204,MATCH($B55,Produtos!$A$5:$A$204,0)),""))</x:f>
      </x:c>
      <x:c r="D55" s="170"/>
      <x:c r="E55" s="179"/>
      <x:c r="F55" s="179"/>
      <x:c r="G55" s="179"/>
      <x:c r="H55" s="40" t="str">
        <x:f>IF(A55="","",IF(OR(S55&lt;&gt;"",Listas!$B$13&lt;&gt;"OK"),"n.a.",G55-Listas!$B$6))</x:f>
      </x:c>
      <x:c r="I55" s="40"/>
      <x:c r="J55" s="40" t="str">
        <x:f>IF(A55="","",IF(OR(S55&lt;&gt;"",T55&gt;0,Listas!$B$13&lt;&gt;"OK"),"n.a.",SUMIFS(Movimentacoes!$H$5:$H$304,Movimentacoes!$D$5:$D$304,A55,Movimentacoes!$B$5:$B$304,"&lt;="&amp;Listas!$B$6)))</x:f>
      </x:c>
      <x:c r="K55" s="180"/>
      <x:c r="L55" s="181" t="str">
        <x:f>IF(A55="","",IF(OR(U55&gt;0,Listas!$B$13&lt;&gt;"OK"),"n.a.",J55*K55))</x:f>
      </x:c>
      <x:c r="M55" s="27"/>
      <x:c r="N55" s="40" t="str">
        <x:f>IF(A55="","",IF(OR(U55&gt;0,Listas!$B$13&lt;&gt;"OK"),"REVISAR DADOS",IF(J55=0,"SEM SALDO",IF(G55&lt;Listas!$B$6,"VENCIDO",IF(H55&lt;=Listas!$B$7,"CRÍTICO",IF(H55&lt;=Listas!$B$8,"VENCE NA JANELA","OK"))))))</x:f>
      </x:c>
      <x:c r="O55" s="41" t="str">
        <x:f>IF(A55="","",IF(AND(ISNUMBER(V55),V55&gt;0),G55,""))</x:f>
      </x:c>
      <x:c r="P55" s="40" t="str">
        <x:f>IF(A55="","",IF(OR(U55&gt;0,Listas!$B$13&lt;&gt;"OK"),"REVISAR DADOS",IF(J55=0,"ARQUIVAR LOTE",IF(M55="Quarentena","DECIDIR LIBERAÇÃO",IF(M55="Bloqueado","SEGREGAR E INVESTIGAR",IF(M55="Esgotado","REVISAR STATUS COM SALDO",IF(N55="VENCIDO","SEGREGAR E AVALIAR DESTINAÇÃO",IF(OR(N55="CRÍTICO",N55="VENCE NA JANELA"),"PRIORIZAR FEFO","MANTER ROTAÇÃO"))))))))</x:f>
      </x:c>
      <x:c r="Q55" s="27"/>
      <x:c r="R55" s="181" t="str">
        <x:f>IF(A55="","",IF(OR(U55&gt;0,Listas!$B$13&lt;&gt;"OK"),"n.a.",IF(OR(N55="VENCIDO",N55="CRÍTICO",N55="VENCE NA JANELA",M55="Quarentena",M55="Bloqueado"),L55,0)))</x:f>
      </x:c>
      <x:c r="S55" s="163" t="str">
        <x:f>IF(COUNTA(A55:B55,D55:G55,I55,K55,M55,Q55,AB55:AD55)=0,"",IF(OR(A55="",COUNTIFS($A$5:$A$204,A55)&lt;&gt;1),"Lote ausente ou duplicado",IF(OR(B55="",COUNTIFS(Produtos!$A$5:$A$204,B55)&lt;&gt;1),"SKU ausente ou desconhecido",IF(COUNTIFS(Produtos!$A$5:$A$204,B55,Produtos!$R$5:$R$204,1)&gt;0,"Revisar cadastro do produto",IF(OR(NOT(ISNUMBER(E55)),E55&lt;=0,NOT(ISNUMBER(G55)),G55&lt;=0,G55&lt;E55),"Recebimento ou validade inválida",IF(AND(F55&lt;&gt;"",OR(NOT(ISNUMBER(F55)),F55&lt;=0,F55&gt;E55)),"Fabricação inválida ou posterior ao recebimento",IF(OR(NOT(ISNUMBER(K55)),K55&lt;0,NOT(ISNUMBER(I55)),I55&lt;0),"Quantidade recebida ou custo inválido",IF(AND(M55&lt;&gt;"Liberado",M55&lt;&gt;"Quarentena",M55&lt;&gt;"Bloqueado",M55&lt;&gt;"Esgotado"),"Status de lote inválido",""))))))))</x:f>
      </x:c>
      <x:c r="T55" s="163" t="n">
        <x:f>IF(A55="",0,COUNTIFS(Movimentacoes!$D$5:$D$304,A55,Movimentacoes!$P$5:$P$304,1))</x:f>
        <x:v>0</x:v>
      </x:c>
      <x:c r="U55" s="163" t="n">
        <x:f>IF(COUNTA(A55:B55,D55:G55,I55,K55,M55,Q55,AB55:AD55)=0,0,IF(OR(S55&lt;&gt;"",T55&gt;0),1,IF(ISNUMBER(J55),IF(OR(J55&lt;0,AND(J55&gt;0,M55="Esgotado")),1,0),0)))</x:f>
        <x:v>0</x:v>
      </x:c>
      <x:c r="V55" s="163" t="str">
        <x:f>IF(A55="","",IF(OR(U55&gt;0,Listas!$B$13&lt;&gt;"OK"),"n.a.",IF(AND(J55&gt;0,M55="Liberado",G55&gt;=Listas!$B$6),J55,0)))</x:f>
      </x:c>
      <x:c r="W55" s="163" t="str">
        <x:f>IF(A55="","",IF(OR(U55&gt;0,Listas!$B$13&lt;&gt;"OK"),"n.a.",V55*K55))</x:f>
      </x:c>
      <x:c r="X55" s="167" t="n">
        <x:f>IF(COUNTA(A55:B55,D55:G55,I55,K55,M55,Q55,AB55:AD55)=0,0,IF(OR(Listas!$B$19="Todos",B55=Listas!$B$19,COUNTIFS(Produtos!$A$5:$A$204,B55)&lt;&gt;1),1,0))</x:f>
        <x:v>0</x:v>
      </x:c>
      <x:c r="Y55" s="167" t="str">
        <x:f>IF(X55=0,"",IF(Listas!$B$13&lt;&gt;"OK","Revisar parâmetros",IF(U55&gt;0,IF(S55&lt;&gt;"",S55,IF(T55&gt;0,"Revisar movimentos",IF(AND(ISNUMBER(J55),J55&lt;0),"Saldo negativo","Status esgotado com saldo"))),IF(AG55&lt;&gt;"",AG55&amp;". ","")&amp;IF(J55&lt;=0,"",IF(N55="VENCIDO","Validade vencida. ","")&amp;IF(M55="Quarentena","Em quarentena. ","")&amp;IF(M55="Bloqueado","Lote bloqueado. ","")&amp;IF(N55="CRÍTICO","Validade crítica. ","")&amp;IF(N55="VENCE NA JANELA","Vence na janela. ","")))))</x:f>
      </x:c>
      <x:c r="Z55" s="167" t="n">
        <x:f>IF(OR(X55=0,Y55=""),0,IF(OR(Listas!$B$13&lt;&gt;"OK",U55&gt;0,AH55&gt;0),1,IF(N55="VENCIDO",2,IF(OR(M55="Quarentena",M55="Bloqueado"),3,IF(N55="CRÍTICO",4,5)))))</x:f>
        <x:v>0</x:v>
      </x:c>
      <x:c r="AA55" s="167" t="n">
        <x:f>IF(Z55=0,0,COUNTIFS($Z$5:$Z$204,"&gt;0",$Z$5:$Z$204,"&lt;"&amp;Z55,$X$5:$X$204,1)+COUNTIFS($Z$5:Z55,Z55,$X$5:X55,1))</x:f>
        <x:v>0</x:v>
      </x:c>
      <x:c r="AB55" s="168"/>
      <x:c r="AC55" s="168"/>
      <x:c r="AD55" s="169"/>
      <x:c r="AE55" s="167" t="str">
        <x:f>IF(X55=0,"",IF(OR(U55&gt;0,Listas!$B$13&lt;&gt;"OK"),"Dados pendentes",IF(J55&lt;=0,"Sem saldo",IF(N55="VENCIDO","Vencidos",IF(OR(M55="Quarentena",M55="Bloqueado"),"Restritos vigentes",IF(OR(N55="CRÍTICO",N55="VENCE NA JANELA"),"Liberados na janela","Demais liberados"))))))</x:f>
      </x:c>
      <x:c r="AF55" s="167" t="str">
        <x:f>IF(A55&lt;&gt;"",A55,IF(U55&gt;0,"Sem ID (linha "&amp;ROW()&amp;")",""))</x:f>
      </x:c>
      <x:c r="AG55" s="167" t="str">
        <x:f>IF(AD55="","",IF(OR(NOT(ISNUMBER(AD55)),AD55&lt;=0),"Prazo da ação inválido",""))</x:f>
      </x:c>
      <x:c r="AH55" s="167" t="n">
        <x:f>IF(AG55="",0,1)</x:f>
        <x:v>0</x:v>
      </x:c>
    </x:row>
    <x:row r="56" ht="32" customHeight="1">
      <x:c r="A56" s="27"/>
      <x:c r="B56" s="27"/>
      <x:c r="C56" s="40" t="str">
        <x:f>IF($B56="","",IFERROR(INDEX(Produtos!$B$5:$B$204,MATCH($B56,Produtos!$A$5:$A$204,0)),""))</x:f>
      </x:c>
      <x:c r="D56" s="170"/>
      <x:c r="E56" s="179"/>
      <x:c r="F56" s="179"/>
      <x:c r="G56" s="179"/>
      <x:c r="H56" s="40" t="str">
        <x:f>IF(A56="","",IF(OR(S56&lt;&gt;"",Listas!$B$13&lt;&gt;"OK"),"n.a.",G56-Listas!$B$6))</x:f>
      </x:c>
      <x:c r="I56" s="40"/>
      <x:c r="J56" s="40" t="str">
        <x:f>IF(A56="","",IF(OR(S56&lt;&gt;"",T56&gt;0,Listas!$B$13&lt;&gt;"OK"),"n.a.",SUMIFS(Movimentacoes!$H$5:$H$304,Movimentacoes!$D$5:$D$304,A56,Movimentacoes!$B$5:$B$304,"&lt;="&amp;Listas!$B$6)))</x:f>
      </x:c>
      <x:c r="K56" s="180"/>
      <x:c r="L56" s="181" t="str">
        <x:f>IF(A56="","",IF(OR(U56&gt;0,Listas!$B$13&lt;&gt;"OK"),"n.a.",J56*K56))</x:f>
      </x:c>
      <x:c r="M56" s="27"/>
      <x:c r="N56" s="40" t="str">
        <x:f>IF(A56="","",IF(OR(U56&gt;0,Listas!$B$13&lt;&gt;"OK"),"REVISAR DADOS",IF(J56=0,"SEM SALDO",IF(G56&lt;Listas!$B$6,"VENCIDO",IF(H56&lt;=Listas!$B$7,"CRÍTICO",IF(H56&lt;=Listas!$B$8,"VENCE NA JANELA","OK"))))))</x:f>
      </x:c>
      <x:c r="O56" s="41" t="str">
        <x:f>IF(A56="","",IF(AND(ISNUMBER(V56),V56&gt;0),G56,""))</x:f>
      </x:c>
      <x:c r="P56" s="40" t="str">
        <x:f>IF(A56="","",IF(OR(U56&gt;0,Listas!$B$13&lt;&gt;"OK"),"REVISAR DADOS",IF(J56=0,"ARQUIVAR LOTE",IF(M56="Quarentena","DECIDIR LIBERAÇÃO",IF(M56="Bloqueado","SEGREGAR E INVESTIGAR",IF(M56="Esgotado","REVISAR STATUS COM SALDO",IF(N56="VENCIDO","SEGREGAR E AVALIAR DESTINAÇÃO",IF(OR(N56="CRÍTICO",N56="VENCE NA JANELA"),"PRIORIZAR FEFO","MANTER ROTAÇÃO"))))))))</x:f>
      </x:c>
      <x:c r="Q56" s="27"/>
      <x:c r="R56" s="181" t="str">
        <x:f>IF(A56="","",IF(OR(U56&gt;0,Listas!$B$13&lt;&gt;"OK"),"n.a.",IF(OR(N56="VENCIDO",N56="CRÍTICO",N56="VENCE NA JANELA",M56="Quarentena",M56="Bloqueado"),L56,0)))</x:f>
      </x:c>
      <x:c r="S56" s="163" t="str">
        <x:f>IF(COUNTA(A56:B56,D56:G56,I56,K56,M56,Q56,AB56:AD56)=0,"",IF(OR(A56="",COUNTIFS($A$5:$A$204,A56)&lt;&gt;1),"Lote ausente ou duplicado",IF(OR(B56="",COUNTIFS(Produtos!$A$5:$A$204,B56)&lt;&gt;1),"SKU ausente ou desconhecido",IF(COUNTIFS(Produtos!$A$5:$A$204,B56,Produtos!$R$5:$R$204,1)&gt;0,"Revisar cadastro do produto",IF(OR(NOT(ISNUMBER(E56)),E56&lt;=0,NOT(ISNUMBER(G56)),G56&lt;=0,G56&lt;E56),"Recebimento ou validade inválida",IF(AND(F56&lt;&gt;"",OR(NOT(ISNUMBER(F56)),F56&lt;=0,F56&gt;E56)),"Fabricação inválida ou posterior ao recebimento",IF(OR(NOT(ISNUMBER(K56)),K56&lt;0,NOT(ISNUMBER(I56)),I56&lt;0),"Quantidade recebida ou custo inválido",IF(AND(M56&lt;&gt;"Liberado",M56&lt;&gt;"Quarentena",M56&lt;&gt;"Bloqueado",M56&lt;&gt;"Esgotado"),"Status de lote inválido",""))))))))</x:f>
      </x:c>
      <x:c r="T56" s="163" t="n">
        <x:f>IF(A56="",0,COUNTIFS(Movimentacoes!$D$5:$D$304,A56,Movimentacoes!$P$5:$P$304,1))</x:f>
        <x:v>0</x:v>
      </x:c>
      <x:c r="U56" s="163" t="n">
        <x:f>IF(COUNTA(A56:B56,D56:G56,I56,K56,M56,Q56,AB56:AD56)=0,0,IF(OR(S56&lt;&gt;"",T56&gt;0),1,IF(ISNUMBER(J56),IF(OR(J56&lt;0,AND(J56&gt;0,M56="Esgotado")),1,0),0)))</x:f>
        <x:v>0</x:v>
      </x:c>
      <x:c r="V56" s="163" t="str">
        <x:f>IF(A56="","",IF(OR(U56&gt;0,Listas!$B$13&lt;&gt;"OK"),"n.a.",IF(AND(J56&gt;0,M56="Liberado",G56&gt;=Listas!$B$6),J56,0)))</x:f>
      </x:c>
      <x:c r="W56" s="163" t="str">
        <x:f>IF(A56="","",IF(OR(U56&gt;0,Listas!$B$13&lt;&gt;"OK"),"n.a.",V56*K56))</x:f>
      </x:c>
      <x:c r="X56" s="167" t="n">
        <x:f>IF(COUNTA(A56:B56,D56:G56,I56,K56,M56,Q56,AB56:AD56)=0,0,IF(OR(Listas!$B$19="Todos",B56=Listas!$B$19,COUNTIFS(Produtos!$A$5:$A$204,B56)&lt;&gt;1),1,0))</x:f>
        <x:v>0</x:v>
      </x:c>
      <x:c r="Y56" s="167" t="str">
        <x:f>IF(X56=0,"",IF(Listas!$B$13&lt;&gt;"OK","Revisar parâmetros",IF(U56&gt;0,IF(S56&lt;&gt;"",S56,IF(T56&gt;0,"Revisar movimentos",IF(AND(ISNUMBER(J56),J56&lt;0),"Saldo negativo","Status esgotado com saldo"))),IF(AG56&lt;&gt;"",AG56&amp;". ","")&amp;IF(J56&lt;=0,"",IF(N56="VENCIDO","Validade vencida. ","")&amp;IF(M56="Quarentena","Em quarentena. ","")&amp;IF(M56="Bloqueado","Lote bloqueado. ","")&amp;IF(N56="CRÍTICO","Validade crítica. ","")&amp;IF(N56="VENCE NA JANELA","Vence na janela. ","")))))</x:f>
      </x:c>
      <x:c r="Z56" s="167" t="n">
        <x:f>IF(OR(X56=0,Y56=""),0,IF(OR(Listas!$B$13&lt;&gt;"OK",U56&gt;0,AH56&gt;0),1,IF(N56="VENCIDO",2,IF(OR(M56="Quarentena",M56="Bloqueado"),3,IF(N56="CRÍTICO",4,5)))))</x:f>
        <x:v>0</x:v>
      </x:c>
      <x:c r="AA56" s="167" t="n">
        <x:f>IF(Z56=0,0,COUNTIFS($Z$5:$Z$204,"&gt;0",$Z$5:$Z$204,"&lt;"&amp;Z56,$X$5:$X$204,1)+COUNTIFS($Z$5:Z56,Z56,$X$5:X56,1))</x:f>
        <x:v>0</x:v>
      </x:c>
      <x:c r="AB56" s="168"/>
      <x:c r="AC56" s="168"/>
      <x:c r="AD56" s="169"/>
      <x:c r="AE56" s="167" t="str">
        <x:f>IF(X56=0,"",IF(OR(U56&gt;0,Listas!$B$13&lt;&gt;"OK"),"Dados pendentes",IF(J56&lt;=0,"Sem saldo",IF(N56="VENCIDO","Vencidos",IF(OR(M56="Quarentena",M56="Bloqueado"),"Restritos vigentes",IF(OR(N56="CRÍTICO",N56="VENCE NA JANELA"),"Liberados na janela","Demais liberados"))))))</x:f>
      </x:c>
      <x:c r="AF56" s="167" t="str">
        <x:f>IF(A56&lt;&gt;"",A56,IF(U56&gt;0,"Sem ID (linha "&amp;ROW()&amp;")",""))</x:f>
      </x:c>
      <x:c r="AG56" s="167" t="str">
        <x:f>IF(AD56="","",IF(OR(NOT(ISNUMBER(AD56)),AD56&lt;=0),"Prazo da ação inválido",""))</x:f>
      </x:c>
      <x:c r="AH56" s="167" t="n">
        <x:f>IF(AG56="",0,1)</x:f>
        <x:v>0</x:v>
      </x:c>
    </x:row>
    <x:row r="57" ht="32" customHeight="1">
      <x:c r="A57" s="27"/>
      <x:c r="B57" s="27"/>
      <x:c r="C57" s="40" t="str">
        <x:f>IF($B57="","",IFERROR(INDEX(Produtos!$B$5:$B$204,MATCH($B57,Produtos!$A$5:$A$204,0)),""))</x:f>
      </x:c>
      <x:c r="D57" s="170"/>
      <x:c r="E57" s="179"/>
      <x:c r="F57" s="179"/>
      <x:c r="G57" s="179"/>
      <x:c r="H57" s="40" t="str">
        <x:f>IF(A57="","",IF(OR(S57&lt;&gt;"",Listas!$B$13&lt;&gt;"OK"),"n.a.",G57-Listas!$B$6))</x:f>
      </x:c>
      <x:c r="I57" s="40"/>
      <x:c r="J57" s="40" t="str">
        <x:f>IF(A57="","",IF(OR(S57&lt;&gt;"",T57&gt;0,Listas!$B$13&lt;&gt;"OK"),"n.a.",SUMIFS(Movimentacoes!$H$5:$H$304,Movimentacoes!$D$5:$D$304,A57,Movimentacoes!$B$5:$B$304,"&lt;="&amp;Listas!$B$6)))</x:f>
      </x:c>
      <x:c r="K57" s="180"/>
      <x:c r="L57" s="181" t="str">
        <x:f>IF(A57="","",IF(OR(U57&gt;0,Listas!$B$13&lt;&gt;"OK"),"n.a.",J57*K57))</x:f>
      </x:c>
      <x:c r="M57" s="27"/>
      <x:c r="N57" s="40" t="str">
        <x:f>IF(A57="","",IF(OR(U57&gt;0,Listas!$B$13&lt;&gt;"OK"),"REVISAR DADOS",IF(J57=0,"SEM SALDO",IF(G57&lt;Listas!$B$6,"VENCIDO",IF(H57&lt;=Listas!$B$7,"CRÍTICO",IF(H57&lt;=Listas!$B$8,"VENCE NA JANELA","OK"))))))</x:f>
      </x:c>
      <x:c r="O57" s="41" t="str">
        <x:f>IF(A57="","",IF(AND(ISNUMBER(V57),V57&gt;0),G57,""))</x:f>
      </x:c>
      <x:c r="P57" s="40" t="str">
        <x:f>IF(A57="","",IF(OR(U57&gt;0,Listas!$B$13&lt;&gt;"OK"),"REVISAR DADOS",IF(J57=0,"ARQUIVAR LOTE",IF(M57="Quarentena","DECIDIR LIBERAÇÃO",IF(M57="Bloqueado","SEGREGAR E INVESTIGAR",IF(M57="Esgotado","REVISAR STATUS COM SALDO",IF(N57="VENCIDO","SEGREGAR E AVALIAR DESTINAÇÃO",IF(OR(N57="CRÍTICO",N57="VENCE NA JANELA"),"PRIORIZAR FEFO","MANTER ROTAÇÃO"))))))))</x:f>
      </x:c>
      <x:c r="Q57" s="27"/>
      <x:c r="R57" s="181" t="str">
        <x:f>IF(A57="","",IF(OR(U57&gt;0,Listas!$B$13&lt;&gt;"OK"),"n.a.",IF(OR(N57="VENCIDO",N57="CRÍTICO",N57="VENCE NA JANELA",M57="Quarentena",M57="Bloqueado"),L57,0)))</x:f>
      </x:c>
      <x:c r="S57" s="163" t="str">
        <x:f>IF(COUNTA(A57:B57,D57:G57,I57,K57,M57,Q57,AB57:AD57)=0,"",IF(OR(A57="",COUNTIFS($A$5:$A$204,A57)&lt;&gt;1),"Lote ausente ou duplicado",IF(OR(B57="",COUNTIFS(Produtos!$A$5:$A$204,B57)&lt;&gt;1),"SKU ausente ou desconhecido",IF(COUNTIFS(Produtos!$A$5:$A$204,B57,Produtos!$R$5:$R$204,1)&gt;0,"Revisar cadastro do produto",IF(OR(NOT(ISNUMBER(E57)),E57&lt;=0,NOT(ISNUMBER(G57)),G57&lt;=0,G57&lt;E57),"Recebimento ou validade inválida",IF(AND(F57&lt;&gt;"",OR(NOT(ISNUMBER(F57)),F57&lt;=0,F57&gt;E57)),"Fabricação inválida ou posterior ao recebimento",IF(OR(NOT(ISNUMBER(K57)),K57&lt;0,NOT(ISNUMBER(I57)),I57&lt;0),"Quantidade recebida ou custo inválido",IF(AND(M57&lt;&gt;"Liberado",M57&lt;&gt;"Quarentena",M57&lt;&gt;"Bloqueado",M57&lt;&gt;"Esgotado"),"Status de lote inválido",""))))))))</x:f>
      </x:c>
      <x:c r="T57" s="163" t="n">
        <x:f>IF(A57="",0,COUNTIFS(Movimentacoes!$D$5:$D$304,A57,Movimentacoes!$P$5:$P$304,1))</x:f>
        <x:v>0</x:v>
      </x:c>
      <x:c r="U57" s="163" t="n">
        <x:f>IF(COUNTA(A57:B57,D57:G57,I57,K57,M57,Q57,AB57:AD57)=0,0,IF(OR(S57&lt;&gt;"",T57&gt;0),1,IF(ISNUMBER(J57),IF(OR(J57&lt;0,AND(J57&gt;0,M57="Esgotado")),1,0),0)))</x:f>
        <x:v>0</x:v>
      </x:c>
      <x:c r="V57" s="163" t="str">
        <x:f>IF(A57="","",IF(OR(U57&gt;0,Listas!$B$13&lt;&gt;"OK"),"n.a.",IF(AND(J57&gt;0,M57="Liberado",G57&gt;=Listas!$B$6),J57,0)))</x:f>
      </x:c>
      <x:c r="W57" s="163" t="str">
        <x:f>IF(A57="","",IF(OR(U57&gt;0,Listas!$B$13&lt;&gt;"OK"),"n.a.",V57*K57))</x:f>
      </x:c>
      <x:c r="X57" s="167" t="n">
        <x:f>IF(COUNTA(A57:B57,D57:G57,I57,K57,M57,Q57,AB57:AD57)=0,0,IF(OR(Listas!$B$19="Todos",B57=Listas!$B$19,COUNTIFS(Produtos!$A$5:$A$204,B57)&lt;&gt;1),1,0))</x:f>
        <x:v>0</x:v>
      </x:c>
      <x:c r="Y57" s="167" t="str">
        <x:f>IF(X57=0,"",IF(Listas!$B$13&lt;&gt;"OK","Revisar parâmetros",IF(U57&gt;0,IF(S57&lt;&gt;"",S57,IF(T57&gt;0,"Revisar movimentos",IF(AND(ISNUMBER(J57),J57&lt;0),"Saldo negativo","Status esgotado com saldo"))),IF(AG57&lt;&gt;"",AG57&amp;". ","")&amp;IF(J57&lt;=0,"",IF(N57="VENCIDO","Validade vencida. ","")&amp;IF(M57="Quarentena","Em quarentena. ","")&amp;IF(M57="Bloqueado","Lote bloqueado. ","")&amp;IF(N57="CRÍTICO","Validade crítica. ","")&amp;IF(N57="VENCE NA JANELA","Vence na janela. ","")))))</x:f>
      </x:c>
      <x:c r="Z57" s="167" t="n">
        <x:f>IF(OR(X57=0,Y57=""),0,IF(OR(Listas!$B$13&lt;&gt;"OK",U57&gt;0,AH57&gt;0),1,IF(N57="VENCIDO",2,IF(OR(M57="Quarentena",M57="Bloqueado"),3,IF(N57="CRÍTICO",4,5)))))</x:f>
        <x:v>0</x:v>
      </x:c>
      <x:c r="AA57" s="167" t="n">
        <x:f>IF(Z57=0,0,COUNTIFS($Z$5:$Z$204,"&gt;0",$Z$5:$Z$204,"&lt;"&amp;Z57,$X$5:$X$204,1)+COUNTIFS($Z$5:Z57,Z57,$X$5:X57,1))</x:f>
        <x:v>0</x:v>
      </x:c>
      <x:c r="AB57" s="168"/>
      <x:c r="AC57" s="168"/>
      <x:c r="AD57" s="169"/>
      <x:c r="AE57" s="167" t="str">
        <x:f>IF(X57=0,"",IF(OR(U57&gt;0,Listas!$B$13&lt;&gt;"OK"),"Dados pendentes",IF(J57&lt;=0,"Sem saldo",IF(N57="VENCIDO","Vencidos",IF(OR(M57="Quarentena",M57="Bloqueado"),"Restritos vigentes",IF(OR(N57="CRÍTICO",N57="VENCE NA JANELA"),"Liberados na janela","Demais liberados"))))))</x:f>
      </x:c>
      <x:c r="AF57" s="167" t="str">
        <x:f>IF(A57&lt;&gt;"",A57,IF(U57&gt;0,"Sem ID (linha "&amp;ROW()&amp;")",""))</x:f>
      </x:c>
      <x:c r="AG57" s="167" t="str">
        <x:f>IF(AD57="","",IF(OR(NOT(ISNUMBER(AD57)),AD57&lt;=0),"Prazo da ação inválido",""))</x:f>
      </x:c>
      <x:c r="AH57" s="167" t="n">
        <x:f>IF(AG57="",0,1)</x:f>
        <x:v>0</x:v>
      </x:c>
    </x:row>
    <x:row r="58" ht="32" customHeight="1">
      <x:c r="A58" s="27"/>
      <x:c r="B58" s="27"/>
      <x:c r="C58" s="40" t="str">
        <x:f>IF($B58="","",IFERROR(INDEX(Produtos!$B$5:$B$204,MATCH($B58,Produtos!$A$5:$A$204,0)),""))</x:f>
      </x:c>
      <x:c r="D58" s="170"/>
      <x:c r="E58" s="179"/>
      <x:c r="F58" s="179"/>
      <x:c r="G58" s="179"/>
      <x:c r="H58" s="40" t="str">
        <x:f>IF(A58="","",IF(OR(S58&lt;&gt;"",Listas!$B$13&lt;&gt;"OK"),"n.a.",G58-Listas!$B$6))</x:f>
      </x:c>
      <x:c r="I58" s="40"/>
      <x:c r="J58" s="40" t="str">
        <x:f>IF(A58="","",IF(OR(S58&lt;&gt;"",T58&gt;0,Listas!$B$13&lt;&gt;"OK"),"n.a.",SUMIFS(Movimentacoes!$H$5:$H$304,Movimentacoes!$D$5:$D$304,A58,Movimentacoes!$B$5:$B$304,"&lt;="&amp;Listas!$B$6)))</x:f>
      </x:c>
      <x:c r="K58" s="180"/>
      <x:c r="L58" s="181" t="str">
        <x:f>IF(A58="","",IF(OR(U58&gt;0,Listas!$B$13&lt;&gt;"OK"),"n.a.",J58*K58))</x:f>
      </x:c>
      <x:c r="M58" s="27"/>
      <x:c r="N58" s="40" t="str">
        <x:f>IF(A58="","",IF(OR(U58&gt;0,Listas!$B$13&lt;&gt;"OK"),"REVISAR DADOS",IF(J58=0,"SEM SALDO",IF(G58&lt;Listas!$B$6,"VENCIDO",IF(H58&lt;=Listas!$B$7,"CRÍTICO",IF(H58&lt;=Listas!$B$8,"VENCE NA JANELA","OK"))))))</x:f>
      </x:c>
      <x:c r="O58" s="41" t="str">
        <x:f>IF(A58="","",IF(AND(ISNUMBER(V58),V58&gt;0),G58,""))</x:f>
      </x:c>
      <x:c r="P58" s="40" t="str">
        <x:f>IF(A58="","",IF(OR(U58&gt;0,Listas!$B$13&lt;&gt;"OK"),"REVISAR DADOS",IF(J58=0,"ARQUIVAR LOTE",IF(M58="Quarentena","DECIDIR LIBERAÇÃO",IF(M58="Bloqueado","SEGREGAR E INVESTIGAR",IF(M58="Esgotado","REVISAR STATUS COM SALDO",IF(N58="VENCIDO","SEGREGAR E AVALIAR DESTINAÇÃO",IF(OR(N58="CRÍTICO",N58="VENCE NA JANELA"),"PRIORIZAR FEFO","MANTER ROTAÇÃO"))))))))</x:f>
      </x:c>
      <x:c r="Q58" s="27"/>
      <x:c r="R58" s="181" t="str">
        <x:f>IF(A58="","",IF(OR(U58&gt;0,Listas!$B$13&lt;&gt;"OK"),"n.a.",IF(OR(N58="VENCIDO",N58="CRÍTICO",N58="VENCE NA JANELA",M58="Quarentena",M58="Bloqueado"),L58,0)))</x:f>
      </x:c>
      <x:c r="S58" s="163" t="str">
        <x:f>IF(COUNTA(A58:B58,D58:G58,I58,K58,M58,Q58,AB58:AD58)=0,"",IF(OR(A58="",COUNTIFS($A$5:$A$204,A58)&lt;&gt;1),"Lote ausente ou duplicado",IF(OR(B58="",COUNTIFS(Produtos!$A$5:$A$204,B58)&lt;&gt;1),"SKU ausente ou desconhecido",IF(COUNTIFS(Produtos!$A$5:$A$204,B58,Produtos!$R$5:$R$204,1)&gt;0,"Revisar cadastro do produto",IF(OR(NOT(ISNUMBER(E58)),E58&lt;=0,NOT(ISNUMBER(G58)),G58&lt;=0,G58&lt;E58),"Recebimento ou validade inválida",IF(AND(F58&lt;&gt;"",OR(NOT(ISNUMBER(F58)),F58&lt;=0,F58&gt;E58)),"Fabricação inválida ou posterior ao recebimento",IF(OR(NOT(ISNUMBER(K58)),K58&lt;0,NOT(ISNUMBER(I58)),I58&lt;0),"Quantidade recebida ou custo inválido",IF(AND(M58&lt;&gt;"Liberado",M58&lt;&gt;"Quarentena",M58&lt;&gt;"Bloqueado",M58&lt;&gt;"Esgotado"),"Status de lote inválido",""))))))))</x:f>
      </x:c>
      <x:c r="T58" s="163" t="n">
        <x:f>IF(A58="",0,COUNTIFS(Movimentacoes!$D$5:$D$304,A58,Movimentacoes!$P$5:$P$304,1))</x:f>
        <x:v>0</x:v>
      </x:c>
      <x:c r="U58" s="163" t="n">
        <x:f>IF(COUNTA(A58:B58,D58:G58,I58,K58,M58,Q58,AB58:AD58)=0,0,IF(OR(S58&lt;&gt;"",T58&gt;0),1,IF(ISNUMBER(J58),IF(OR(J58&lt;0,AND(J58&gt;0,M58="Esgotado")),1,0),0)))</x:f>
        <x:v>0</x:v>
      </x:c>
      <x:c r="V58" s="163" t="str">
        <x:f>IF(A58="","",IF(OR(U58&gt;0,Listas!$B$13&lt;&gt;"OK"),"n.a.",IF(AND(J58&gt;0,M58="Liberado",G58&gt;=Listas!$B$6),J58,0)))</x:f>
      </x:c>
      <x:c r="W58" s="163" t="str">
        <x:f>IF(A58="","",IF(OR(U58&gt;0,Listas!$B$13&lt;&gt;"OK"),"n.a.",V58*K58))</x:f>
      </x:c>
      <x:c r="X58" s="167" t="n">
        <x:f>IF(COUNTA(A58:B58,D58:G58,I58,K58,M58,Q58,AB58:AD58)=0,0,IF(OR(Listas!$B$19="Todos",B58=Listas!$B$19,COUNTIFS(Produtos!$A$5:$A$204,B58)&lt;&gt;1),1,0))</x:f>
        <x:v>0</x:v>
      </x:c>
      <x:c r="Y58" s="167" t="str">
        <x:f>IF(X58=0,"",IF(Listas!$B$13&lt;&gt;"OK","Revisar parâmetros",IF(U58&gt;0,IF(S58&lt;&gt;"",S58,IF(T58&gt;0,"Revisar movimentos",IF(AND(ISNUMBER(J58),J58&lt;0),"Saldo negativo","Status esgotado com saldo"))),IF(AG58&lt;&gt;"",AG58&amp;". ","")&amp;IF(J58&lt;=0,"",IF(N58="VENCIDO","Validade vencida. ","")&amp;IF(M58="Quarentena","Em quarentena. ","")&amp;IF(M58="Bloqueado","Lote bloqueado. ","")&amp;IF(N58="CRÍTICO","Validade crítica. ","")&amp;IF(N58="VENCE NA JANELA","Vence na janela. ","")))))</x:f>
      </x:c>
      <x:c r="Z58" s="167" t="n">
        <x:f>IF(OR(X58=0,Y58=""),0,IF(OR(Listas!$B$13&lt;&gt;"OK",U58&gt;0,AH58&gt;0),1,IF(N58="VENCIDO",2,IF(OR(M58="Quarentena",M58="Bloqueado"),3,IF(N58="CRÍTICO",4,5)))))</x:f>
        <x:v>0</x:v>
      </x:c>
      <x:c r="AA58" s="167" t="n">
        <x:f>IF(Z58=0,0,COUNTIFS($Z$5:$Z$204,"&gt;0",$Z$5:$Z$204,"&lt;"&amp;Z58,$X$5:$X$204,1)+COUNTIFS($Z$5:Z58,Z58,$X$5:X58,1))</x:f>
        <x:v>0</x:v>
      </x:c>
      <x:c r="AB58" s="168"/>
      <x:c r="AC58" s="168"/>
      <x:c r="AD58" s="169"/>
      <x:c r="AE58" s="167" t="str">
        <x:f>IF(X58=0,"",IF(OR(U58&gt;0,Listas!$B$13&lt;&gt;"OK"),"Dados pendentes",IF(J58&lt;=0,"Sem saldo",IF(N58="VENCIDO","Vencidos",IF(OR(M58="Quarentena",M58="Bloqueado"),"Restritos vigentes",IF(OR(N58="CRÍTICO",N58="VENCE NA JANELA"),"Liberados na janela","Demais liberados"))))))</x:f>
      </x:c>
      <x:c r="AF58" s="167" t="str">
        <x:f>IF(A58&lt;&gt;"",A58,IF(U58&gt;0,"Sem ID (linha "&amp;ROW()&amp;")",""))</x:f>
      </x:c>
      <x:c r="AG58" s="167" t="str">
        <x:f>IF(AD58="","",IF(OR(NOT(ISNUMBER(AD58)),AD58&lt;=0),"Prazo da ação inválido",""))</x:f>
      </x:c>
      <x:c r="AH58" s="167" t="n">
        <x:f>IF(AG58="",0,1)</x:f>
        <x:v>0</x:v>
      </x:c>
    </x:row>
    <x:row r="59" ht="32" customHeight="1">
      <x:c r="A59" s="27"/>
      <x:c r="B59" s="27"/>
      <x:c r="C59" s="40" t="str">
        <x:f>IF($B59="","",IFERROR(INDEX(Produtos!$B$5:$B$204,MATCH($B59,Produtos!$A$5:$A$204,0)),""))</x:f>
      </x:c>
      <x:c r="D59" s="170"/>
      <x:c r="E59" s="179"/>
      <x:c r="F59" s="179"/>
      <x:c r="G59" s="179"/>
      <x:c r="H59" s="40" t="str">
        <x:f>IF(A59="","",IF(OR(S59&lt;&gt;"",Listas!$B$13&lt;&gt;"OK"),"n.a.",G59-Listas!$B$6))</x:f>
      </x:c>
      <x:c r="I59" s="40"/>
      <x:c r="J59" s="40" t="str">
        <x:f>IF(A59="","",IF(OR(S59&lt;&gt;"",T59&gt;0,Listas!$B$13&lt;&gt;"OK"),"n.a.",SUMIFS(Movimentacoes!$H$5:$H$304,Movimentacoes!$D$5:$D$304,A59,Movimentacoes!$B$5:$B$304,"&lt;="&amp;Listas!$B$6)))</x:f>
      </x:c>
      <x:c r="K59" s="180"/>
      <x:c r="L59" s="181" t="str">
        <x:f>IF(A59="","",IF(OR(U59&gt;0,Listas!$B$13&lt;&gt;"OK"),"n.a.",J59*K59))</x:f>
      </x:c>
      <x:c r="M59" s="27"/>
      <x:c r="N59" s="40" t="str">
        <x:f>IF(A59="","",IF(OR(U59&gt;0,Listas!$B$13&lt;&gt;"OK"),"REVISAR DADOS",IF(J59=0,"SEM SALDO",IF(G59&lt;Listas!$B$6,"VENCIDO",IF(H59&lt;=Listas!$B$7,"CRÍTICO",IF(H59&lt;=Listas!$B$8,"VENCE NA JANELA","OK"))))))</x:f>
      </x:c>
      <x:c r="O59" s="41" t="str">
        <x:f>IF(A59="","",IF(AND(ISNUMBER(V59),V59&gt;0),G59,""))</x:f>
      </x:c>
      <x:c r="P59" s="40" t="str">
        <x:f>IF(A59="","",IF(OR(U59&gt;0,Listas!$B$13&lt;&gt;"OK"),"REVISAR DADOS",IF(J59=0,"ARQUIVAR LOTE",IF(M59="Quarentena","DECIDIR LIBERAÇÃO",IF(M59="Bloqueado","SEGREGAR E INVESTIGAR",IF(M59="Esgotado","REVISAR STATUS COM SALDO",IF(N59="VENCIDO","SEGREGAR E AVALIAR DESTINAÇÃO",IF(OR(N59="CRÍTICO",N59="VENCE NA JANELA"),"PRIORIZAR FEFO","MANTER ROTAÇÃO"))))))))</x:f>
      </x:c>
      <x:c r="Q59" s="27"/>
      <x:c r="R59" s="181" t="str">
        <x:f>IF(A59="","",IF(OR(U59&gt;0,Listas!$B$13&lt;&gt;"OK"),"n.a.",IF(OR(N59="VENCIDO",N59="CRÍTICO",N59="VENCE NA JANELA",M59="Quarentena",M59="Bloqueado"),L59,0)))</x:f>
      </x:c>
      <x:c r="S59" s="163" t="str">
        <x:f>IF(COUNTA(A59:B59,D59:G59,I59,K59,M59,Q59,AB59:AD59)=0,"",IF(OR(A59="",COUNTIFS($A$5:$A$204,A59)&lt;&gt;1),"Lote ausente ou duplicado",IF(OR(B59="",COUNTIFS(Produtos!$A$5:$A$204,B59)&lt;&gt;1),"SKU ausente ou desconhecido",IF(COUNTIFS(Produtos!$A$5:$A$204,B59,Produtos!$R$5:$R$204,1)&gt;0,"Revisar cadastro do produto",IF(OR(NOT(ISNUMBER(E59)),E59&lt;=0,NOT(ISNUMBER(G59)),G59&lt;=0,G59&lt;E59),"Recebimento ou validade inválida",IF(AND(F59&lt;&gt;"",OR(NOT(ISNUMBER(F59)),F59&lt;=0,F59&gt;E59)),"Fabricação inválida ou posterior ao recebimento",IF(OR(NOT(ISNUMBER(K59)),K59&lt;0,NOT(ISNUMBER(I59)),I59&lt;0),"Quantidade recebida ou custo inválido",IF(AND(M59&lt;&gt;"Liberado",M59&lt;&gt;"Quarentena",M59&lt;&gt;"Bloqueado",M59&lt;&gt;"Esgotado"),"Status de lote inválido",""))))))))</x:f>
      </x:c>
      <x:c r="T59" s="163" t="n">
        <x:f>IF(A59="",0,COUNTIFS(Movimentacoes!$D$5:$D$304,A59,Movimentacoes!$P$5:$P$304,1))</x:f>
        <x:v>0</x:v>
      </x:c>
      <x:c r="U59" s="163" t="n">
        <x:f>IF(COUNTA(A59:B59,D59:G59,I59,K59,M59,Q59,AB59:AD59)=0,0,IF(OR(S59&lt;&gt;"",T59&gt;0),1,IF(ISNUMBER(J59),IF(OR(J59&lt;0,AND(J59&gt;0,M59="Esgotado")),1,0),0)))</x:f>
        <x:v>0</x:v>
      </x:c>
      <x:c r="V59" s="163" t="str">
        <x:f>IF(A59="","",IF(OR(U59&gt;0,Listas!$B$13&lt;&gt;"OK"),"n.a.",IF(AND(J59&gt;0,M59="Liberado",G59&gt;=Listas!$B$6),J59,0)))</x:f>
      </x:c>
      <x:c r="W59" s="163" t="str">
        <x:f>IF(A59="","",IF(OR(U59&gt;0,Listas!$B$13&lt;&gt;"OK"),"n.a.",V59*K59))</x:f>
      </x:c>
      <x:c r="X59" s="167" t="n">
        <x:f>IF(COUNTA(A59:B59,D59:G59,I59,K59,M59,Q59,AB59:AD59)=0,0,IF(OR(Listas!$B$19="Todos",B59=Listas!$B$19,COUNTIFS(Produtos!$A$5:$A$204,B59)&lt;&gt;1),1,0))</x:f>
        <x:v>0</x:v>
      </x:c>
      <x:c r="Y59" s="167" t="str">
        <x:f>IF(X59=0,"",IF(Listas!$B$13&lt;&gt;"OK","Revisar parâmetros",IF(U59&gt;0,IF(S59&lt;&gt;"",S59,IF(T59&gt;0,"Revisar movimentos",IF(AND(ISNUMBER(J59),J59&lt;0),"Saldo negativo","Status esgotado com saldo"))),IF(AG59&lt;&gt;"",AG59&amp;". ","")&amp;IF(J59&lt;=0,"",IF(N59="VENCIDO","Validade vencida. ","")&amp;IF(M59="Quarentena","Em quarentena. ","")&amp;IF(M59="Bloqueado","Lote bloqueado. ","")&amp;IF(N59="CRÍTICO","Validade crítica. ","")&amp;IF(N59="VENCE NA JANELA","Vence na janela. ","")))))</x:f>
      </x:c>
      <x:c r="Z59" s="167" t="n">
        <x:f>IF(OR(X59=0,Y59=""),0,IF(OR(Listas!$B$13&lt;&gt;"OK",U59&gt;0,AH59&gt;0),1,IF(N59="VENCIDO",2,IF(OR(M59="Quarentena",M59="Bloqueado"),3,IF(N59="CRÍTICO",4,5)))))</x:f>
        <x:v>0</x:v>
      </x:c>
      <x:c r="AA59" s="167" t="n">
        <x:f>IF(Z59=0,0,COUNTIFS($Z$5:$Z$204,"&gt;0",$Z$5:$Z$204,"&lt;"&amp;Z59,$X$5:$X$204,1)+COUNTIFS($Z$5:Z59,Z59,$X$5:X59,1))</x:f>
        <x:v>0</x:v>
      </x:c>
      <x:c r="AB59" s="168"/>
      <x:c r="AC59" s="168"/>
      <x:c r="AD59" s="169"/>
      <x:c r="AE59" s="167" t="str">
        <x:f>IF(X59=0,"",IF(OR(U59&gt;0,Listas!$B$13&lt;&gt;"OK"),"Dados pendentes",IF(J59&lt;=0,"Sem saldo",IF(N59="VENCIDO","Vencidos",IF(OR(M59="Quarentena",M59="Bloqueado"),"Restritos vigentes",IF(OR(N59="CRÍTICO",N59="VENCE NA JANELA"),"Liberados na janela","Demais liberados"))))))</x:f>
      </x:c>
      <x:c r="AF59" s="167" t="str">
        <x:f>IF(A59&lt;&gt;"",A59,IF(U59&gt;0,"Sem ID (linha "&amp;ROW()&amp;")",""))</x:f>
      </x:c>
      <x:c r="AG59" s="167" t="str">
        <x:f>IF(AD59="","",IF(OR(NOT(ISNUMBER(AD59)),AD59&lt;=0),"Prazo da ação inválido",""))</x:f>
      </x:c>
      <x:c r="AH59" s="167" t="n">
        <x:f>IF(AG59="",0,1)</x:f>
        <x:v>0</x:v>
      </x:c>
    </x:row>
    <x:row r="60" ht="32" customHeight="1">
      <x:c r="A60" s="27"/>
      <x:c r="B60" s="27"/>
      <x:c r="C60" s="40" t="str">
        <x:f>IF($B60="","",IFERROR(INDEX(Produtos!$B$5:$B$204,MATCH($B60,Produtos!$A$5:$A$204,0)),""))</x:f>
      </x:c>
      <x:c r="D60" s="170"/>
      <x:c r="E60" s="179"/>
      <x:c r="F60" s="179"/>
      <x:c r="G60" s="179"/>
      <x:c r="H60" s="40" t="str">
        <x:f>IF(A60="","",IF(OR(S60&lt;&gt;"",Listas!$B$13&lt;&gt;"OK"),"n.a.",G60-Listas!$B$6))</x:f>
      </x:c>
      <x:c r="I60" s="40"/>
      <x:c r="J60" s="40" t="str">
        <x:f>IF(A60="","",IF(OR(S60&lt;&gt;"",T60&gt;0,Listas!$B$13&lt;&gt;"OK"),"n.a.",SUMIFS(Movimentacoes!$H$5:$H$304,Movimentacoes!$D$5:$D$304,A60,Movimentacoes!$B$5:$B$304,"&lt;="&amp;Listas!$B$6)))</x:f>
      </x:c>
      <x:c r="K60" s="180"/>
      <x:c r="L60" s="181" t="str">
        <x:f>IF(A60="","",IF(OR(U60&gt;0,Listas!$B$13&lt;&gt;"OK"),"n.a.",J60*K60))</x:f>
      </x:c>
      <x:c r="M60" s="27"/>
      <x:c r="N60" s="40" t="str">
        <x:f>IF(A60="","",IF(OR(U60&gt;0,Listas!$B$13&lt;&gt;"OK"),"REVISAR DADOS",IF(J60=0,"SEM SALDO",IF(G60&lt;Listas!$B$6,"VENCIDO",IF(H60&lt;=Listas!$B$7,"CRÍTICO",IF(H60&lt;=Listas!$B$8,"VENCE NA JANELA","OK"))))))</x:f>
      </x:c>
      <x:c r="O60" s="41" t="str">
        <x:f>IF(A60="","",IF(AND(ISNUMBER(V60),V60&gt;0),G60,""))</x:f>
      </x:c>
      <x:c r="P60" s="40" t="str">
        <x:f>IF(A60="","",IF(OR(U60&gt;0,Listas!$B$13&lt;&gt;"OK"),"REVISAR DADOS",IF(J60=0,"ARQUIVAR LOTE",IF(M60="Quarentena","DECIDIR LIBERAÇÃO",IF(M60="Bloqueado","SEGREGAR E INVESTIGAR",IF(M60="Esgotado","REVISAR STATUS COM SALDO",IF(N60="VENCIDO","SEGREGAR E AVALIAR DESTINAÇÃO",IF(OR(N60="CRÍTICO",N60="VENCE NA JANELA"),"PRIORIZAR FEFO","MANTER ROTAÇÃO"))))))))</x:f>
      </x:c>
      <x:c r="Q60" s="27"/>
      <x:c r="R60" s="181" t="str">
        <x:f>IF(A60="","",IF(OR(U60&gt;0,Listas!$B$13&lt;&gt;"OK"),"n.a.",IF(OR(N60="VENCIDO",N60="CRÍTICO",N60="VENCE NA JANELA",M60="Quarentena",M60="Bloqueado"),L60,0)))</x:f>
      </x:c>
      <x:c r="S60" s="163" t="str">
        <x:f>IF(COUNTA(A60:B60,D60:G60,I60,K60,M60,Q60,AB60:AD60)=0,"",IF(OR(A60="",COUNTIFS($A$5:$A$204,A60)&lt;&gt;1),"Lote ausente ou duplicado",IF(OR(B60="",COUNTIFS(Produtos!$A$5:$A$204,B60)&lt;&gt;1),"SKU ausente ou desconhecido",IF(COUNTIFS(Produtos!$A$5:$A$204,B60,Produtos!$R$5:$R$204,1)&gt;0,"Revisar cadastro do produto",IF(OR(NOT(ISNUMBER(E60)),E60&lt;=0,NOT(ISNUMBER(G60)),G60&lt;=0,G60&lt;E60),"Recebimento ou validade inválida",IF(AND(F60&lt;&gt;"",OR(NOT(ISNUMBER(F60)),F60&lt;=0,F60&gt;E60)),"Fabricação inválida ou posterior ao recebimento",IF(OR(NOT(ISNUMBER(K60)),K60&lt;0,NOT(ISNUMBER(I60)),I60&lt;0),"Quantidade recebida ou custo inválido",IF(AND(M60&lt;&gt;"Liberado",M60&lt;&gt;"Quarentena",M60&lt;&gt;"Bloqueado",M60&lt;&gt;"Esgotado"),"Status de lote inválido",""))))))))</x:f>
      </x:c>
      <x:c r="T60" s="163" t="n">
        <x:f>IF(A60="",0,COUNTIFS(Movimentacoes!$D$5:$D$304,A60,Movimentacoes!$P$5:$P$304,1))</x:f>
        <x:v>0</x:v>
      </x:c>
      <x:c r="U60" s="163" t="n">
        <x:f>IF(COUNTA(A60:B60,D60:G60,I60,K60,M60,Q60,AB60:AD60)=0,0,IF(OR(S60&lt;&gt;"",T60&gt;0),1,IF(ISNUMBER(J60),IF(OR(J60&lt;0,AND(J60&gt;0,M60="Esgotado")),1,0),0)))</x:f>
        <x:v>0</x:v>
      </x:c>
      <x:c r="V60" s="163" t="str">
        <x:f>IF(A60="","",IF(OR(U60&gt;0,Listas!$B$13&lt;&gt;"OK"),"n.a.",IF(AND(J60&gt;0,M60="Liberado",G60&gt;=Listas!$B$6),J60,0)))</x:f>
      </x:c>
      <x:c r="W60" s="163" t="str">
        <x:f>IF(A60="","",IF(OR(U60&gt;0,Listas!$B$13&lt;&gt;"OK"),"n.a.",V60*K60))</x:f>
      </x:c>
      <x:c r="X60" s="167" t="n">
        <x:f>IF(COUNTA(A60:B60,D60:G60,I60,K60,M60,Q60,AB60:AD60)=0,0,IF(OR(Listas!$B$19="Todos",B60=Listas!$B$19,COUNTIFS(Produtos!$A$5:$A$204,B60)&lt;&gt;1),1,0))</x:f>
        <x:v>0</x:v>
      </x:c>
      <x:c r="Y60" s="167" t="str">
        <x:f>IF(X60=0,"",IF(Listas!$B$13&lt;&gt;"OK","Revisar parâmetros",IF(U60&gt;0,IF(S60&lt;&gt;"",S60,IF(T60&gt;0,"Revisar movimentos",IF(AND(ISNUMBER(J60),J60&lt;0),"Saldo negativo","Status esgotado com saldo"))),IF(AG60&lt;&gt;"",AG60&amp;". ","")&amp;IF(J60&lt;=0,"",IF(N60="VENCIDO","Validade vencida. ","")&amp;IF(M60="Quarentena","Em quarentena. ","")&amp;IF(M60="Bloqueado","Lote bloqueado. ","")&amp;IF(N60="CRÍTICO","Validade crítica. ","")&amp;IF(N60="VENCE NA JANELA","Vence na janela. ","")))))</x:f>
      </x:c>
      <x:c r="Z60" s="167" t="n">
        <x:f>IF(OR(X60=0,Y60=""),0,IF(OR(Listas!$B$13&lt;&gt;"OK",U60&gt;0,AH60&gt;0),1,IF(N60="VENCIDO",2,IF(OR(M60="Quarentena",M60="Bloqueado"),3,IF(N60="CRÍTICO",4,5)))))</x:f>
        <x:v>0</x:v>
      </x:c>
      <x:c r="AA60" s="167" t="n">
        <x:f>IF(Z60=0,0,COUNTIFS($Z$5:$Z$204,"&gt;0",$Z$5:$Z$204,"&lt;"&amp;Z60,$X$5:$X$204,1)+COUNTIFS($Z$5:Z60,Z60,$X$5:X60,1))</x:f>
        <x:v>0</x:v>
      </x:c>
      <x:c r="AB60" s="168"/>
      <x:c r="AC60" s="168"/>
      <x:c r="AD60" s="169"/>
      <x:c r="AE60" s="167" t="str">
        <x:f>IF(X60=0,"",IF(OR(U60&gt;0,Listas!$B$13&lt;&gt;"OK"),"Dados pendentes",IF(J60&lt;=0,"Sem saldo",IF(N60="VENCIDO","Vencidos",IF(OR(M60="Quarentena",M60="Bloqueado"),"Restritos vigentes",IF(OR(N60="CRÍTICO",N60="VENCE NA JANELA"),"Liberados na janela","Demais liberados"))))))</x:f>
      </x:c>
      <x:c r="AF60" s="167" t="str">
        <x:f>IF(A60&lt;&gt;"",A60,IF(U60&gt;0,"Sem ID (linha "&amp;ROW()&amp;")",""))</x:f>
      </x:c>
      <x:c r="AG60" s="167" t="str">
        <x:f>IF(AD60="","",IF(OR(NOT(ISNUMBER(AD60)),AD60&lt;=0),"Prazo da ação inválido",""))</x:f>
      </x:c>
      <x:c r="AH60" s="167" t="n">
        <x:f>IF(AG60="",0,1)</x:f>
        <x:v>0</x:v>
      </x:c>
    </x:row>
    <x:row r="61" ht="32" customHeight="1">
      <x:c r="A61" s="27"/>
      <x:c r="B61" s="27"/>
      <x:c r="C61" s="40" t="str">
        <x:f>IF($B61="","",IFERROR(INDEX(Produtos!$B$5:$B$204,MATCH($B61,Produtos!$A$5:$A$204,0)),""))</x:f>
      </x:c>
      <x:c r="D61" s="170"/>
      <x:c r="E61" s="179"/>
      <x:c r="F61" s="179"/>
      <x:c r="G61" s="179"/>
      <x:c r="H61" s="40" t="str">
        <x:f>IF(A61="","",IF(OR(S61&lt;&gt;"",Listas!$B$13&lt;&gt;"OK"),"n.a.",G61-Listas!$B$6))</x:f>
      </x:c>
      <x:c r="I61" s="40"/>
      <x:c r="J61" s="40" t="str">
        <x:f>IF(A61="","",IF(OR(S61&lt;&gt;"",T61&gt;0,Listas!$B$13&lt;&gt;"OK"),"n.a.",SUMIFS(Movimentacoes!$H$5:$H$304,Movimentacoes!$D$5:$D$304,A61,Movimentacoes!$B$5:$B$304,"&lt;="&amp;Listas!$B$6)))</x:f>
      </x:c>
      <x:c r="K61" s="180"/>
      <x:c r="L61" s="181" t="str">
        <x:f>IF(A61="","",IF(OR(U61&gt;0,Listas!$B$13&lt;&gt;"OK"),"n.a.",J61*K61))</x:f>
      </x:c>
      <x:c r="M61" s="27"/>
      <x:c r="N61" s="40" t="str">
        <x:f>IF(A61="","",IF(OR(U61&gt;0,Listas!$B$13&lt;&gt;"OK"),"REVISAR DADOS",IF(J61=0,"SEM SALDO",IF(G61&lt;Listas!$B$6,"VENCIDO",IF(H61&lt;=Listas!$B$7,"CRÍTICO",IF(H61&lt;=Listas!$B$8,"VENCE NA JANELA","OK"))))))</x:f>
      </x:c>
      <x:c r="O61" s="41" t="str">
        <x:f>IF(A61="","",IF(AND(ISNUMBER(V61),V61&gt;0),G61,""))</x:f>
      </x:c>
      <x:c r="P61" s="40" t="str">
        <x:f>IF(A61="","",IF(OR(U61&gt;0,Listas!$B$13&lt;&gt;"OK"),"REVISAR DADOS",IF(J61=0,"ARQUIVAR LOTE",IF(M61="Quarentena","DECIDIR LIBERAÇÃO",IF(M61="Bloqueado","SEGREGAR E INVESTIGAR",IF(M61="Esgotado","REVISAR STATUS COM SALDO",IF(N61="VENCIDO","SEGREGAR E AVALIAR DESTINAÇÃO",IF(OR(N61="CRÍTICO",N61="VENCE NA JANELA"),"PRIORIZAR FEFO","MANTER ROTAÇÃO"))))))))</x:f>
      </x:c>
      <x:c r="Q61" s="27"/>
      <x:c r="R61" s="181" t="str">
        <x:f>IF(A61="","",IF(OR(U61&gt;0,Listas!$B$13&lt;&gt;"OK"),"n.a.",IF(OR(N61="VENCIDO",N61="CRÍTICO",N61="VENCE NA JANELA",M61="Quarentena",M61="Bloqueado"),L61,0)))</x:f>
      </x:c>
      <x:c r="S61" s="163" t="str">
        <x:f>IF(COUNTA(A61:B61,D61:G61,I61,K61,M61,Q61,AB61:AD61)=0,"",IF(OR(A61="",COUNTIFS($A$5:$A$204,A61)&lt;&gt;1),"Lote ausente ou duplicado",IF(OR(B61="",COUNTIFS(Produtos!$A$5:$A$204,B61)&lt;&gt;1),"SKU ausente ou desconhecido",IF(COUNTIFS(Produtos!$A$5:$A$204,B61,Produtos!$R$5:$R$204,1)&gt;0,"Revisar cadastro do produto",IF(OR(NOT(ISNUMBER(E61)),E61&lt;=0,NOT(ISNUMBER(G61)),G61&lt;=0,G61&lt;E61),"Recebimento ou validade inválida",IF(AND(F61&lt;&gt;"",OR(NOT(ISNUMBER(F61)),F61&lt;=0,F61&gt;E61)),"Fabricação inválida ou posterior ao recebimento",IF(OR(NOT(ISNUMBER(K61)),K61&lt;0,NOT(ISNUMBER(I61)),I61&lt;0),"Quantidade recebida ou custo inválido",IF(AND(M61&lt;&gt;"Liberado",M61&lt;&gt;"Quarentena",M61&lt;&gt;"Bloqueado",M61&lt;&gt;"Esgotado"),"Status de lote inválido",""))))))))</x:f>
      </x:c>
      <x:c r="T61" s="163" t="n">
        <x:f>IF(A61="",0,COUNTIFS(Movimentacoes!$D$5:$D$304,A61,Movimentacoes!$P$5:$P$304,1))</x:f>
        <x:v>0</x:v>
      </x:c>
      <x:c r="U61" s="163" t="n">
        <x:f>IF(COUNTA(A61:B61,D61:G61,I61,K61,M61,Q61,AB61:AD61)=0,0,IF(OR(S61&lt;&gt;"",T61&gt;0),1,IF(ISNUMBER(J61),IF(OR(J61&lt;0,AND(J61&gt;0,M61="Esgotado")),1,0),0)))</x:f>
        <x:v>0</x:v>
      </x:c>
      <x:c r="V61" s="163" t="str">
        <x:f>IF(A61="","",IF(OR(U61&gt;0,Listas!$B$13&lt;&gt;"OK"),"n.a.",IF(AND(J61&gt;0,M61="Liberado",G61&gt;=Listas!$B$6),J61,0)))</x:f>
      </x:c>
      <x:c r="W61" s="163" t="str">
        <x:f>IF(A61="","",IF(OR(U61&gt;0,Listas!$B$13&lt;&gt;"OK"),"n.a.",V61*K61))</x:f>
      </x:c>
      <x:c r="X61" s="167" t="n">
        <x:f>IF(COUNTA(A61:B61,D61:G61,I61,K61,M61,Q61,AB61:AD61)=0,0,IF(OR(Listas!$B$19="Todos",B61=Listas!$B$19,COUNTIFS(Produtos!$A$5:$A$204,B61)&lt;&gt;1),1,0))</x:f>
        <x:v>0</x:v>
      </x:c>
      <x:c r="Y61" s="167" t="str">
        <x:f>IF(X61=0,"",IF(Listas!$B$13&lt;&gt;"OK","Revisar parâmetros",IF(U61&gt;0,IF(S61&lt;&gt;"",S61,IF(T61&gt;0,"Revisar movimentos",IF(AND(ISNUMBER(J61),J61&lt;0),"Saldo negativo","Status esgotado com saldo"))),IF(AG61&lt;&gt;"",AG61&amp;". ","")&amp;IF(J61&lt;=0,"",IF(N61="VENCIDO","Validade vencida. ","")&amp;IF(M61="Quarentena","Em quarentena. ","")&amp;IF(M61="Bloqueado","Lote bloqueado. ","")&amp;IF(N61="CRÍTICO","Validade crítica. ","")&amp;IF(N61="VENCE NA JANELA","Vence na janela. ","")))))</x:f>
      </x:c>
      <x:c r="Z61" s="167" t="n">
        <x:f>IF(OR(X61=0,Y61=""),0,IF(OR(Listas!$B$13&lt;&gt;"OK",U61&gt;0,AH61&gt;0),1,IF(N61="VENCIDO",2,IF(OR(M61="Quarentena",M61="Bloqueado"),3,IF(N61="CRÍTICO",4,5)))))</x:f>
        <x:v>0</x:v>
      </x:c>
      <x:c r="AA61" s="167" t="n">
        <x:f>IF(Z61=0,0,COUNTIFS($Z$5:$Z$204,"&gt;0",$Z$5:$Z$204,"&lt;"&amp;Z61,$X$5:$X$204,1)+COUNTIFS($Z$5:Z61,Z61,$X$5:X61,1))</x:f>
        <x:v>0</x:v>
      </x:c>
      <x:c r="AB61" s="168"/>
      <x:c r="AC61" s="168"/>
      <x:c r="AD61" s="169"/>
      <x:c r="AE61" s="167" t="str">
        <x:f>IF(X61=0,"",IF(OR(U61&gt;0,Listas!$B$13&lt;&gt;"OK"),"Dados pendentes",IF(J61&lt;=0,"Sem saldo",IF(N61="VENCIDO","Vencidos",IF(OR(M61="Quarentena",M61="Bloqueado"),"Restritos vigentes",IF(OR(N61="CRÍTICO",N61="VENCE NA JANELA"),"Liberados na janela","Demais liberados"))))))</x:f>
      </x:c>
      <x:c r="AF61" s="167" t="str">
        <x:f>IF(A61&lt;&gt;"",A61,IF(U61&gt;0,"Sem ID (linha "&amp;ROW()&amp;")",""))</x:f>
      </x:c>
      <x:c r="AG61" s="167" t="str">
        <x:f>IF(AD61="","",IF(OR(NOT(ISNUMBER(AD61)),AD61&lt;=0),"Prazo da ação inválido",""))</x:f>
      </x:c>
      <x:c r="AH61" s="167" t="n">
        <x:f>IF(AG61="",0,1)</x:f>
        <x:v>0</x:v>
      </x:c>
    </x:row>
    <x:row r="62" ht="32" customHeight="1">
      <x:c r="A62" s="27"/>
      <x:c r="B62" s="27"/>
      <x:c r="C62" s="40" t="str">
        <x:f>IF($B62="","",IFERROR(INDEX(Produtos!$B$5:$B$204,MATCH($B62,Produtos!$A$5:$A$204,0)),""))</x:f>
      </x:c>
      <x:c r="D62" s="170"/>
      <x:c r="E62" s="179"/>
      <x:c r="F62" s="179"/>
      <x:c r="G62" s="179"/>
      <x:c r="H62" s="40" t="str">
        <x:f>IF(A62="","",IF(OR(S62&lt;&gt;"",Listas!$B$13&lt;&gt;"OK"),"n.a.",G62-Listas!$B$6))</x:f>
      </x:c>
      <x:c r="I62" s="40"/>
      <x:c r="J62" s="40" t="str">
        <x:f>IF(A62="","",IF(OR(S62&lt;&gt;"",T62&gt;0,Listas!$B$13&lt;&gt;"OK"),"n.a.",SUMIFS(Movimentacoes!$H$5:$H$304,Movimentacoes!$D$5:$D$304,A62,Movimentacoes!$B$5:$B$304,"&lt;="&amp;Listas!$B$6)))</x:f>
      </x:c>
      <x:c r="K62" s="180"/>
      <x:c r="L62" s="181" t="str">
        <x:f>IF(A62="","",IF(OR(U62&gt;0,Listas!$B$13&lt;&gt;"OK"),"n.a.",J62*K62))</x:f>
      </x:c>
      <x:c r="M62" s="27"/>
      <x:c r="N62" s="40" t="str">
        <x:f>IF(A62="","",IF(OR(U62&gt;0,Listas!$B$13&lt;&gt;"OK"),"REVISAR DADOS",IF(J62=0,"SEM SALDO",IF(G62&lt;Listas!$B$6,"VENCIDO",IF(H62&lt;=Listas!$B$7,"CRÍTICO",IF(H62&lt;=Listas!$B$8,"VENCE NA JANELA","OK"))))))</x:f>
      </x:c>
      <x:c r="O62" s="41" t="str">
        <x:f>IF(A62="","",IF(AND(ISNUMBER(V62),V62&gt;0),G62,""))</x:f>
      </x:c>
      <x:c r="P62" s="40" t="str">
        <x:f>IF(A62="","",IF(OR(U62&gt;0,Listas!$B$13&lt;&gt;"OK"),"REVISAR DADOS",IF(J62=0,"ARQUIVAR LOTE",IF(M62="Quarentena","DECIDIR LIBERAÇÃO",IF(M62="Bloqueado","SEGREGAR E INVESTIGAR",IF(M62="Esgotado","REVISAR STATUS COM SALDO",IF(N62="VENCIDO","SEGREGAR E AVALIAR DESTINAÇÃO",IF(OR(N62="CRÍTICO",N62="VENCE NA JANELA"),"PRIORIZAR FEFO","MANTER ROTAÇÃO"))))))))</x:f>
      </x:c>
      <x:c r="Q62" s="27"/>
      <x:c r="R62" s="181" t="str">
        <x:f>IF(A62="","",IF(OR(U62&gt;0,Listas!$B$13&lt;&gt;"OK"),"n.a.",IF(OR(N62="VENCIDO",N62="CRÍTICO",N62="VENCE NA JANELA",M62="Quarentena",M62="Bloqueado"),L62,0)))</x:f>
      </x:c>
      <x:c r="S62" s="163" t="str">
        <x:f>IF(COUNTA(A62:B62,D62:G62,I62,K62,M62,Q62,AB62:AD62)=0,"",IF(OR(A62="",COUNTIFS($A$5:$A$204,A62)&lt;&gt;1),"Lote ausente ou duplicado",IF(OR(B62="",COUNTIFS(Produtos!$A$5:$A$204,B62)&lt;&gt;1),"SKU ausente ou desconhecido",IF(COUNTIFS(Produtos!$A$5:$A$204,B62,Produtos!$R$5:$R$204,1)&gt;0,"Revisar cadastro do produto",IF(OR(NOT(ISNUMBER(E62)),E62&lt;=0,NOT(ISNUMBER(G62)),G62&lt;=0,G62&lt;E62),"Recebimento ou validade inválida",IF(AND(F62&lt;&gt;"",OR(NOT(ISNUMBER(F62)),F62&lt;=0,F62&gt;E62)),"Fabricação inválida ou posterior ao recebimento",IF(OR(NOT(ISNUMBER(K62)),K62&lt;0,NOT(ISNUMBER(I62)),I62&lt;0),"Quantidade recebida ou custo inválido",IF(AND(M62&lt;&gt;"Liberado",M62&lt;&gt;"Quarentena",M62&lt;&gt;"Bloqueado",M62&lt;&gt;"Esgotado"),"Status de lote inválido",""))))))))</x:f>
      </x:c>
      <x:c r="T62" s="163" t="n">
        <x:f>IF(A62="",0,COUNTIFS(Movimentacoes!$D$5:$D$304,A62,Movimentacoes!$P$5:$P$304,1))</x:f>
        <x:v>0</x:v>
      </x:c>
      <x:c r="U62" s="163" t="n">
        <x:f>IF(COUNTA(A62:B62,D62:G62,I62,K62,M62,Q62,AB62:AD62)=0,0,IF(OR(S62&lt;&gt;"",T62&gt;0),1,IF(ISNUMBER(J62),IF(OR(J62&lt;0,AND(J62&gt;0,M62="Esgotado")),1,0),0)))</x:f>
        <x:v>0</x:v>
      </x:c>
      <x:c r="V62" s="163" t="str">
        <x:f>IF(A62="","",IF(OR(U62&gt;0,Listas!$B$13&lt;&gt;"OK"),"n.a.",IF(AND(J62&gt;0,M62="Liberado",G62&gt;=Listas!$B$6),J62,0)))</x:f>
      </x:c>
      <x:c r="W62" s="163" t="str">
        <x:f>IF(A62="","",IF(OR(U62&gt;0,Listas!$B$13&lt;&gt;"OK"),"n.a.",V62*K62))</x:f>
      </x:c>
      <x:c r="X62" s="167" t="n">
        <x:f>IF(COUNTA(A62:B62,D62:G62,I62,K62,M62,Q62,AB62:AD62)=0,0,IF(OR(Listas!$B$19="Todos",B62=Listas!$B$19,COUNTIFS(Produtos!$A$5:$A$204,B62)&lt;&gt;1),1,0))</x:f>
        <x:v>0</x:v>
      </x:c>
      <x:c r="Y62" s="167" t="str">
        <x:f>IF(X62=0,"",IF(Listas!$B$13&lt;&gt;"OK","Revisar parâmetros",IF(U62&gt;0,IF(S62&lt;&gt;"",S62,IF(T62&gt;0,"Revisar movimentos",IF(AND(ISNUMBER(J62),J62&lt;0),"Saldo negativo","Status esgotado com saldo"))),IF(AG62&lt;&gt;"",AG62&amp;". ","")&amp;IF(J62&lt;=0,"",IF(N62="VENCIDO","Validade vencida. ","")&amp;IF(M62="Quarentena","Em quarentena. ","")&amp;IF(M62="Bloqueado","Lote bloqueado. ","")&amp;IF(N62="CRÍTICO","Validade crítica. ","")&amp;IF(N62="VENCE NA JANELA","Vence na janela. ","")))))</x:f>
      </x:c>
      <x:c r="Z62" s="167" t="n">
        <x:f>IF(OR(X62=0,Y62=""),0,IF(OR(Listas!$B$13&lt;&gt;"OK",U62&gt;0,AH62&gt;0),1,IF(N62="VENCIDO",2,IF(OR(M62="Quarentena",M62="Bloqueado"),3,IF(N62="CRÍTICO",4,5)))))</x:f>
        <x:v>0</x:v>
      </x:c>
      <x:c r="AA62" s="167" t="n">
        <x:f>IF(Z62=0,0,COUNTIFS($Z$5:$Z$204,"&gt;0",$Z$5:$Z$204,"&lt;"&amp;Z62,$X$5:$X$204,1)+COUNTIFS($Z$5:Z62,Z62,$X$5:X62,1))</x:f>
        <x:v>0</x:v>
      </x:c>
      <x:c r="AB62" s="168"/>
      <x:c r="AC62" s="168"/>
      <x:c r="AD62" s="169"/>
      <x:c r="AE62" s="167" t="str">
        <x:f>IF(X62=0,"",IF(OR(U62&gt;0,Listas!$B$13&lt;&gt;"OK"),"Dados pendentes",IF(J62&lt;=0,"Sem saldo",IF(N62="VENCIDO","Vencidos",IF(OR(M62="Quarentena",M62="Bloqueado"),"Restritos vigentes",IF(OR(N62="CRÍTICO",N62="VENCE NA JANELA"),"Liberados na janela","Demais liberados"))))))</x:f>
      </x:c>
      <x:c r="AF62" s="167" t="str">
        <x:f>IF(A62&lt;&gt;"",A62,IF(U62&gt;0,"Sem ID (linha "&amp;ROW()&amp;")",""))</x:f>
      </x:c>
      <x:c r="AG62" s="167" t="str">
        <x:f>IF(AD62="","",IF(OR(NOT(ISNUMBER(AD62)),AD62&lt;=0),"Prazo da ação inválido",""))</x:f>
      </x:c>
      <x:c r="AH62" s="167" t="n">
        <x:f>IF(AG62="",0,1)</x:f>
        <x:v>0</x:v>
      </x:c>
    </x:row>
    <x:row r="63" ht="32" customHeight="1">
      <x:c r="A63" s="27"/>
      <x:c r="B63" s="27"/>
      <x:c r="C63" s="40" t="str">
        <x:f>IF($B63="","",IFERROR(INDEX(Produtos!$B$5:$B$204,MATCH($B63,Produtos!$A$5:$A$204,0)),""))</x:f>
      </x:c>
      <x:c r="D63" s="170"/>
      <x:c r="E63" s="179"/>
      <x:c r="F63" s="179"/>
      <x:c r="G63" s="179"/>
      <x:c r="H63" s="40" t="str">
        <x:f>IF(A63="","",IF(OR(S63&lt;&gt;"",Listas!$B$13&lt;&gt;"OK"),"n.a.",G63-Listas!$B$6))</x:f>
      </x:c>
      <x:c r="I63" s="40"/>
      <x:c r="J63" s="40" t="str">
        <x:f>IF(A63="","",IF(OR(S63&lt;&gt;"",T63&gt;0,Listas!$B$13&lt;&gt;"OK"),"n.a.",SUMIFS(Movimentacoes!$H$5:$H$304,Movimentacoes!$D$5:$D$304,A63,Movimentacoes!$B$5:$B$304,"&lt;="&amp;Listas!$B$6)))</x:f>
      </x:c>
      <x:c r="K63" s="180"/>
      <x:c r="L63" s="181" t="str">
        <x:f>IF(A63="","",IF(OR(U63&gt;0,Listas!$B$13&lt;&gt;"OK"),"n.a.",J63*K63))</x:f>
      </x:c>
      <x:c r="M63" s="27"/>
      <x:c r="N63" s="40" t="str">
        <x:f>IF(A63="","",IF(OR(U63&gt;0,Listas!$B$13&lt;&gt;"OK"),"REVISAR DADOS",IF(J63=0,"SEM SALDO",IF(G63&lt;Listas!$B$6,"VENCIDO",IF(H63&lt;=Listas!$B$7,"CRÍTICO",IF(H63&lt;=Listas!$B$8,"VENCE NA JANELA","OK"))))))</x:f>
      </x:c>
      <x:c r="O63" s="41" t="str">
        <x:f>IF(A63="","",IF(AND(ISNUMBER(V63),V63&gt;0),G63,""))</x:f>
      </x:c>
      <x:c r="P63" s="40" t="str">
        <x:f>IF(A63="","",IF(OR(U63&gt;0,Listas!$B$13&lt;&gt;"OK"),"REVISAR DADOS",IF(J63=0,"ARQUIVAR LOTE",IF(M63="Quarentena","DECIDIR LIBERAÇÃO",IF(M63="Bloqueado","SEGREGAR E INVESTIGAR",IF(M63="Esgotado","REVISAR STATUS COM SALDO",IF(N63="VENCIDO","SEGREGAR E AVALIAR DESTINAÇÃO",IF(OR(N63="CRÍTICO",N63="VENCE NA JANELA"),"PRIORIZAR FEFO","MANTER ROTAÇÃO"))))))))</x:f>
      </x:c>
      <x:c r="Q63" s="27"/>
      <x:c r="R63" s="181" t="str">
        <x:f>IF(A63="","",IF(OR(U63&gt;0,Listas!$B$13&lt;&gt;"OK"),"n.a.",IF(OR(N63="VENCIDO",N63="CRÍTICO",N63="VENCE NA JANELA",M63="Quarentena",M63="Bloqueado"),L63,0)))</x:f>
      </x:c>
      <x:c r="S63" s="163" t="str">
        <x:f>IF(COUNTA(A63:B63,D63:G63,I63,K63,M63,Q63,AB63:AD63)=0,"",IF(OR(A63="",COUNTIFS($A$5:$A$204,A63)&lt;&gt;1),"Lote ausente ou duplicado",IF(OR(B63="",COUNTIFS(Produtos!$A$5:$A$204,B63)&lt;&gt;1),"SKU ausente ou desconhecido",IF(COUNTIFS(Produtos!$A$5:$A$204,B63,Produtos!$R$5:$R$204,1)&gt;0,"Revisar cadastro do produto",IF(OR(NOT(ISNUMBER(E63)),E63&lt;=0,NOT(ISNUMBER(G63)),G63&lt;=0,G63&lt;E63),"Recebimento ou validade inválida",IF(AND(F63&lt;&gt;"",OR(NOT(ISNUMBER(F63)),F63&lt;=0,F63&gt;E63)),"Fabricação inválida ou posterior ao recebimento",IF(OR(NOT(ISNUMBER(K63)),K63&lt;0,NOT(ISNUMBER(I63)),I63&lt;0),"Quantidade recebida ou custo inválido",IF(AND(M63&lt;&gt;"Liberado",M63&lt;&gt;"Quarentena",M63&lt;&gt;"Bloqueado",M63&lt;&gt;"Esgotado"),"Status de lote inválido",""))))))))</x:f>
      </x:c>
      <x:c r="T63" s="163" t="n">
        <x:f>IF(A63="",0,COUNTIFS(Movimentacoes!$D$5:$D$304,A63,Movimentacoes!$P$5:$P$304,1))</x:f>
        <x:v>0</x:v>
      </x:c>
      <x:c r="U63" s="163" t="n">
        <x:f>IF(COUNTA(A63:B63,D63:G63,I63,K63,M63,Q63,AB63:AD63)=0,0,IF(OR(S63&lt;&gt;"",T63&gt;0),1,IF(ISNUMBER(J63),IF(OR(J63&lt;0,AND(J63&gt;0,M63="Esgotado")),1,0),0)))</x:f>
        <x:v>0</x:v>
      </x:c>
      <x:c r="V63" s="163" t="str">
        <x:f>IF(A63="","",IF(OR(U63&gt;0,Listas!$B$13&lt;&gt;"OK"),"n.a.",IF(AND(J63&gt;0,M63="Liberado",G63&gt;=Listas!$B$6),J63,0)))</x:f>
      </x:c>
      <x:c r="W63" s="163" t="str">
        <x:f>IF(A63="","",IF(OR(U63&gt;0,Listas!$B$13&lt;&gt;"OK"),"n.a.",V63*K63))</x:f>
      </x:c>
      <x:c r="X63" s="167" t="n">
        <x:f>IF(COUNTA(A63:B63,D63:G63,I63,K63,M63,Q63,AB63:AD63)=0,0,IF(OR(Listas!$B$19="Todos",B63=Listas!$B$19,COUNTIFS(Produtos!$A$5:$A$204,B63)&lt;&gt;1),1,0))</x:f>
        <x:v>0</x:v>
      </x:c>
      <x:c r="Y63" s="167" t="str">
        <x:f>IF(X63=0,"",IF(Listas!$B$13&lt;&gt;"OK","Revisar parâmetros",IF(U63&gt;0,IF(S63&lt;&gt;"",S63,IF(T63&gt;0,"Revisar movimentos",IF(AND(ISNUMBER(J63),J63&lt;0),"Saldo negativo","Status esgotado com saldo"))),IF(AG63&lt;&gt;"",AG63&amp;". ","")&amp;IF(J63&lt;=0,"",IF(N63="VENCIDO","Validade vencida. ","")&amp;IF(M63="Quarentena","Em quarentena. ","")&amp;IF(M63="Bloqueado","Lote bloqueado. ","")&amp;IF(N63="CRÍTICO","Validade crítica. ","")&amp;IF(N63="VENCE NA JANELA","Vence na janela. ","")))))</x:f>
      </x:c>
      <x:c r="Z63" s="167" t="n">
        <x:f>IF(OR(X63=0,Y63=""),0,IF(OR(Listas!$B$13&lt;&gt;"OK",U63&gt;0,AH63&gt;0),1,IF(N63="VENCIDO",2,IF(OR(M63="Quarentena",M63="Bloqueado"),3,IF(N63="CRÍTICO",4,5)))))</x:f>
        <x:v>0</x:v>
      </x:c>
      <x:c r="AA63" s="167" t="n">
        <x:f>IF(Z63=0,0,COUNTIFS($Z$5:$Z$204,"&gt;0",$Z$5:$Z$204,"&lt;"&amp;Z63,$X$5:$X$204,1)+COUNTIFS($Z$5:Z63,Z63,$X$5:X63,1))</x:f>
        <x:v>0</x:v>
      </x:c>
      <x:c r="AB63" s="168"/>
      <x:c r="AC63" s="168"/>
      <x:c r="AD63" s="169"/>
      <x:c r="AE63" s="167" t="str">
        <x:f>IF(X63=0,"",IF(OR(U63&gt;0,Listas!$B$13&lt;&gt;"OK"),"Dados pendentes",IF(J63&lt;=0,"Sem saldo",IF(N63="VENCIDO","Vencidos",IF(OR(M63="Quarentena",M63="Bloqueado"),"Restritos vigentes",IF(OR(N63="CRÍTICO",N63="VENCE NA JANELA"),"Liberados na janela","Demais liberados"))))))</x:f>
      </x:c>
      <x:c r="AF63" s="167" t="str">
        <x:f>IF(A63&lt;&gt;"",A63,IF(U63&gt;0,"Sem ID (linha "&amp;ROW()&amp;")",""))</x:f>
      </x:c>
      <x:c r="AG63" s="167" t="str">
        <x:f>IF(AD63="","",IF(OR(NOT(ISNUMBER(AD63)),AD63&lt;=0),"Prazo da ação inválido",""))</x:f>
      </x:c>
      <x:c r="AH63" s="167" t="n">
        <x:f>IF(AG63="",0,1)</x:f>
        <x:v>0</x:v>
      </x:c>
    </x:row>
    <x:row r="64" ht="32" customHeight="1">
      <x:c r="A64" s="27"/>
      <x:c r="B64" s="27"/>
      <x:c r="C64" s="40" t="str">
        <x:f>IF($B64="","",IFERROR(INDEX(Produtos!$B$5:$B$204,MATCH($B64,Produtos!$A$5:$A$204,0)),""))</x:f>
      </x:c>
      <x:c r="D64" s="170"/>
      <x:c r="E64" s="179"/>
      <x:c r="F64" s="179"/>
      <x:c r="G64" s="179"/>
      <x:c r="H64" s="40" t="str">
        <x:f>IF(A64="","",IF(OR(S64&lt;&gt;"",Listas!$B$13&lt;&gt;"OK"),"n.a.",G64-Listas!$B$6))</x:f>
      </x:c>
      <x:c r="I64" s="40"/>
      <x:c r="J64" s="40" t="str">
        <x:f>IF(A64="","",IF(OR(S64&lt;&gt;"",T64&gt;0,Listas!$B$13&lt;&gt;"OK"),"n.a.",SUMIFS(Movimentacoes!$H$5:$H$304,Movimentacoes!$D$5:$D$304,A64,Movimentacoes!$B$5:$B$304,"&lt;="&amp;Listas!$B$6)))</x:f>
      </x:c>
      <x:c r="K64" s="180"/>
      <x:c r="L64" s="181" t="str">
        <x:f>IF(A64="","",IF(OR(U64&gt;0,Listas!$B$13&lt;&gt;"OK"),"n.a.",J64*K64))</x:f>
      </x:c>
      <x:c r="M64" s="27"/>
      <x:c r="N64" s="40" t="str">
        <x:f>IF(A64="","",IF(OR(U64&gt;0,Listas!$B$13&lt;&gt;"OK"),"REVISAR DADOS",IF(J64=0,"SEM SALDO",IF(G64&lt;Listas!$B$6,"VENCIDO",IF(H64&lt;=Listas!$B$7,"CRÍTICO",IF(H64&lt;=Listas!$B$8,"VENCE NA JANELA","OK"))))))</x:f>
      </x:c>
      <x:c r="O64" s="41" t="str">
        <x:f>IF(A64="","",IF(AND(ISNUMBER(V64),V64&gt;0),G64,""))</x:f>
      </x:c>
      <x:c r="P64" s="40" t="str">
        <x:f>IF(A64="","",IF(OR(U64&gt;0,Listas!$B$13&lt;&gt;"OK"),"REVISAR DADOS",IF(J64=0,"ARQUIVAR LOTE",IF(M64="Quarentena","DECIDIR LIBERAÇÃO",IF(M64="Bloqueado","SEGREGAR E INVESTIGAR",IF(M64="Esgotado","REVISAR STATUS COM SALDO",IF(N64="VENCIDO","SEGREGAR E AVALIAR DESTINAÇÃO",IF(OR(N64="CRÍTICO",N64="VENCE NA JANELA"),"PRIORIZAR FEFO","MANTER ROTAÇÃO"))))))))</x:f>
      </x:c>
      <x:c r="Q64" s="27"/>
      <x:c r="R64" s="181" t="str">
        <x:f>IF(A64="","",IF(OR(U64&gt;0,Listas!$B$13&lt;&gt;"OK"),"n.a.",IF(OR(N64="VENCIDO",N64="CRÍTICO",N64="VENCE NA JANELA",M64="Quarentena",M64="Bloqueado"),L64,0)))</x:f>
      </x:c>
      <x:c r="S64" s="163" t="str">
        <x:f>IF(COUNTA(A64:B64,D64:G64,I64,K64,M64,Q64,AB64:AD64)=0,"",IF(OR(A64="",COUNTIFS($A$5:$A$204,A64)&lt;&gt;1),"Lote ausente ou duplicado",IF(OR(B64="",COUNTIFS(Produtos!$A$5:$A$204,B64)&lt;&gt;1),"SKU ausente ou desconhecido",IF(COUNTIFS(Produtos!$A$5:$A$204,B64,Produtos!$R$5:$R$204,1)&gt;0,"Revisar cadastro do produto",IF(OR(NOT(ISNUMBER(E64)),E64&lt;=0,NOT(ISNUMBER(G64)),G64&lt;=0,G64&lt;E64),"Recebimento ou validade inválida",IF(AND(F64&lt;&gt;"",OR(NOT(ISNUMBER(F64)),F64&lt;=0,F64&gt;E64)),"Fabricação inválida ou posterior ao recebimento",IF(OR(NOT(ISNUMBER(K64)),K64&lt;0,NOT(ISNUMBER(I64)),I64&lt;0),"Quantidade recebida ou custo inválido",IF(AND(M64&lt;&gt;"Liberado",M64&lt;&gt;"Quarentena",M64&lt;&gt;"Bloqueado",M64&lt;&gt;"Esgotado"),"Status de lote inválido",""))))))))</x:f>
      </x:c>
      <x:c r="T64" s="163" t="n">
        <x:f>IF(A64="",0,COUNTIFS(Movimentacoes!$D$5:$D$304,A64,Movimentacoes!$P$5:$P$304,1))</x:f>
        <x:v>0</x:v>
      </x:c>
      <x:c r="U64" s="163" t="n">
        <x:f>IF(COUNTA(A64:B64,D64:G64,I64,K64,M64,Q64,AB64:AD64)=0,0,IF(OR(S64&lt;&gt;"",T64&gt;0),1,IF(ISNUMBER(J64),IF(OR(J64&lt;0,AND(J64&gt;0,M64="Esgotado")),1,0),0)))</x:f>
        <x:v>0</x:v>
      </x:c>
      <x:c r="V64" s="163" t="str">
        <x:f>IF(A64="","",IF(OR(U64&gt;0,Listas!$B$13&lt;&gt;"OK"),"n.a.",IF(AND(J64&gt;0,M64="Liberado",G64&gt;=Listas!$B$6),J64,0)))</x:f>
      </x:c>
      <x:c r="W64" s="163" t="str">
        <x:f>IF(A64="","",IF(OR(U64&gt;0,Listas!$B$13&lt;&gt;"OK"),"n.a.",V64*K64))</x:f>
      </x:c>
      <x:c r="X64" s="167" t="n">
        <x:f>IF(COUNTA(A64:B64,D64:G64,I64,K64,M64,Q64,AB64:AD64)=0,0,IF(OR(Listas!$B$19="Todos",B64=Listas!$B$19,COUNTIFS(Produtos!$A$5:$A$204,B64)&lt;&gt;1),1,0))</x:f>
        <x:v>0</x:v>
      </x:c>
      <x:c r="Y64" s="167" t="str">
        <x:f>IF(X64=0,"",IF(Listas!$B$13&lt;&gt;"OK","Revisar parâmetros",IF(U64&gt;0,IF(S64&lt;&gt;"",S64,IF(T64&gt;0,"Revisar movimentos",IF(AND(ISNUMBER(J64),J64&lt;0),"Saldo negativo","Status esgotado com saldo"))),IF(AG64&lt;&gt;"",AG64&amp;". ","")&amp;IF(J64&lt;=0,"",IF(N64="VENCIDO","Validade vencida. ","")&amp;IF(M64="Quarentena","Em quarentena. ","")&amp;IF(M64="Bloqueado","Lote bloqueado. ","")&amp;IF(N64="CRÍTICO","Validade crítica. ","")&amp;IF(N64="VENCE NA JANELA","Vence na janela. ","")))))</x:f>
      </x:c>
      <x:c r="Z64" s="167" t="n">
        <x:f>IF(OR(X64=0,Y64=""),0,IF(OR(Listas!$B$13&lt;&gt;"OK",U64&gt;0,AH64&gt;0),1,IF(N64="VENCIDO",2,IF(OR(M64="Quarentena",M64="Bloqueado"),3,IF(N64="CRÍTICO",4,5)))))</x:f>
        <x:v>0</x:v>
      </x:c>
      <x:c r="AA64" s="167" t="n">
        <x:f>IF(Z64=0,0,COUNTIFS($Z$5:$Z$204,"&gt;0",$Z$5:$Z$204,"&lt;"&amp;Z64,$X$5:$X$204,1)+COUNTIFS($Z$5:Z64,Z64,$X$5:X64,1))</x:f>
        <x:v>0</x:v>
      </x:c>
      <x:c r="AB64" s="168"/>
      <x:c r="AC64" s="168"/>
      <x:c r="AD64" s="169"/>
      <x:c r="AE64" s="167" t="str">
        <x:f>IF(X64=0,"",IF(OR(U64&gt;0,Listas!$B$13&lt;&gt;"OK"),"Dados pendentes",IF(J64&lt;=0,"Sem saldo",IF(N64="VENCIDO","Vencidos",IF(OR(M64="Quarentena",M64="Bloqueado"),"Restritos vigentes",IF(OR(N64="CRÍTICO",N64="VENCE NA JANELA"),"Liberados na janela","Demais liberados"))))))</x:f>
      </x:c>
      <x:c r="AF64" s="167" t="str">
        <x:f>IF(A64&lt;&gt;"",A64,IF(U64&gt;0,"Sem ID (linha "&amp;ROW()&amp;")",""))</x:f>
      </x:c>
      <x:c r="AG64" s="167" t="str">
        <x:f>IF(AD64="","",IF(OR(NOT(ISNUMBER(AD64)),AD64&lt;=0),"Prazo da ação inválido",""))</x:f>
      </x:c>
      <x:c r="AH64" s="167" t="n">
        <x:f>IF(AG64="",0,1)</x:f>
        <x:v>0</x:v>
      </x:c>
    </x:row>
    <x:row r="65" ht="32" customHeight="1">
      <x:c r="A65" s="27"/>
      <x:c r="B65" s="27"/>
      <x:c r="C65" s="40" t="str">
        <x:f>IF($B65="","",IFERROR(INDEX(Produtos!$B$5:$B$204,MATCH($B65,Produtos!$A$5:$A$204,0)),""))</x:f>
      </x:c>
      <x:c r="D65" s="170"/>
      <x:c r="E65" s="179"/>
      <x:c r="F65" s="179"/>
      <x:c r="G65" s="179"/>
      <x:c r="H65" s="40" t="str">
        <x:f>IF(A65="","",IF(OR(S65&lt;&gt;"",Listas!$B$13&lt;&gt;"OK"),"n.a.",G65-Listas!$B$6))</x:f>
      </x:c>
      <x:c r="I65" s="40"/>
      <x:c r="J65" s="40" t="str">
        <x:f>IF(A65="","",IF(OR(S65&lt;&gt;"",T65&gt;0,Listas!$B$13&lt;&gt;"OK"),"n.a.",SUMIFS(Movimentacoes!$H$5:$H$304,Movimentacoes!$D$5:$D$304,A65,Movimentacoes!$B$5:$B$304,"&lt;="&amp;Listas!$B$6)))</x:f>
      </x:c>
      <x:c r="K65" s="180"/>
      <x:c r="L65" s="181" t="str">
        <x:f>IF(A65="","",IF(OR(U65&gt;0,Listas!$B$13&lt;&gt;"OK"),"n.a.",J65*K65))</x:f>
      </x:c>
      <x:c r="M65" s="27"/>
      <x:c r="N65" s="40" t="str">
        <x:f>IF(A65="","",IF(OR(U65&gt;0,Listas!$B$13&lt;&gt;"OK"),"REVISAR DADOS",IF(J65=0,"SEM SALDO",IF(G65&lt;Listas!$B$6,"VENCIDO",IF(H65&lt;=Listas!$B$7,"CRÍTICO",IF(H65&lt;=Listas!$B$8,"VENCE NA JANELA","OK"))))))</x:f>
      </x:c>
      <x:c r="O65" s="41" t="str">
        <x:f>IF(A65="","",IF(AND(ISNUMBER(V65),V65&gt;0),G65,""))</x:f>
      </x:c>
      <x:c r="P65" s="40" t="str">
        <x:f>IF(A65="","",IF(OR(U65&gt;0,Listas!$B$13&lt;&gt;"OK"),"REVISAR DADOS",IF(J65=0,"ARQUIVAR LOTE",IF(M65="Quarentena","DECIDIR LIBERAÇÃO",IF(M65="Bloqueado","SEGREGAR E INVESTIGAR",IF(M65="Esgotado","REVISAR STATUS COM SALDO",IF(N65="VENCIDO","SEGREGAR E AVALIAR DESTINAÇÃO",IF(OR(N65="CRÍTICO",N65="VENCE NA JANELA"),"PRIORIZAR FEFO","MANTER ROTAÇÃO"))))))))</x:f>
      </x:c>
      <x:c r="Q65" s="27"/>
      <x:c r="R65" s="181" t="str">
        <x:f>IF(A65="","",IF(OR(U65&gt;0,Listas!$B$13&lt;&gt;"OK"),"n.a.",IF(OR(N65="VENCIDO",N65="CRÍTICO",N65="VENCE NA JANELA",M65="Quarentena",M65="Bloqueado"),L65,0)))</x:f>
      </x:c>
      <x:c r="S65" s="163" t="str">
        <x:f>IF(COUNTA(A65:B65,D65:G65,I65,K65,M65,Q65,AB65:AD65)=0,"",IF(OR(A65="",COUNTIFS($A$5:$A$204,A65)&lt;&gt;1),"Lote ausente ou duplicado",IF(OR(B65="",COUNTIFS(Produtos!$A$5:$A$204,B65)&lt;&gt;1),"SKU ausente ou desconhecido",IF(COUNTIFS(Produtos!$A$5:$A$204,B65,Produtos!$R$5:$R$204,1)&gt;0,"Revisar cadastro do produto",IF(OR(NOT(ISNUMBER(E65)),E65&lt;=0,NOT(ISNUMBER(G65)),G65&lt;=0,G65&lt;E65),"Recebimento ou validade inválida",IF(AND(F65&lt;&gt;"",OR(NOT(ISNUMBER(F65)),F65&lt;=0,F65&gt;E65)),"Fabricação inválida ou posterior ao recebimento",IF(OR(NOT(ISNUMBER(K65)),K65&lt;0,NOT(ISNUMBER(I65)),I65&lt;0),"Quantidade recebida ou custo inválido",IF(AND(M65&lt;&gt;"Liberado",M65&lt;&gt;"Quarentena",M65&lt;&gt;"Bloqueado",M65&lt;&gt;"Esgotado"),"Status de lote inválido",""))))))))</x:f>
      </x:c>
      <x:c r="T65" s="163" t="n">
        <x:f>IF(A65="",0,COUNTIFS(Movimentacoes!$D$5:$D$304,A65,Movimentacoes!$P$5:$P$304,1))</x:f>
        <x:v>0</x:v>
      </x:c>
      <x:c r="U65" s="163" t="n">
        <x:f>IF(COUNTA(A65:B65,D65:G65,I65,K65,M65,Q65,AB65:AD65)=0,0,IF(OR(S65&lt;&gt;"",T65&gt;0),1,IF(ISNUMBER(J65),IF(OR(J65&lt;0,AND(J65&gt;0,M65="Esgotado")),1,0),0)))</x:f>
        <x:v>0</x:v>
      </x:c>
      <x:c r="V65" s="163" t="str">
        <x:f>IF(A65="","",IF(OR(U65&gt;0,Listas!$B$13&lt;&gt;"OK"),"n.a.",IF(AND(J65&gt;0,M65="Liberado",G65&gt;=Listas!$B$6),J65,0)))</x:f>
      </x:c>
      <x:c r="W65" s="163" t="str">
        <x:f>IF(A65="","",IF(OR(U65&gt;0,Listas!$B$13&lt;&gt;"OK"),"n.a.",V65*K65))</x:f>
      </x:c>
      <x:c r="X65" s="167" t="n">
        <x:f>IF(COUNTA(A65:B65,D65:G65,I65,K65,M65,Q65,AB65:AD65)=0,0,IF(OR(Listas!$B$19="Todos",B65=Listas!$B$19,COUNTIFS(Produtos!$A$5:$A$204,B65)&lt;&gt;1),1,0))</x:f>
        <x:v>0</x:v>
      </x:c>
      <x:c r="Y65" s="167" t="str">
        <x:f>IF(X65=0,"",IF(Listas!$B$13&lt;&gt;"OK","Revisar parâmetros",IF(U65&gt;0,IF(S65&lt;&gt;"",S65,IF(T65&gt;0,"Revisar movimentos",IF(AND(ISNUMBER(J65),J65&lt;0),"Saldo negativo","Status esgotado com saldo"))),IF(AG65&lt;&gt;"",AG65&amp;". ","")&amp;IF(J65&lt;=0,"",IF(N65="VENCIDO","Validade vencida. ","")&amp;IF(M65="Quarentena","Em quarentena. ","")&amp;IF(M65="Bloqueado","Lote bloqueado. ","")&amp;IF(N65="CRÍTICO","Validade crítica. ","")&amp;IF(N65="VENCE NA JANELA","Vence na janela. ","")))))</x:f>
      </x:c>
      <x:c r="Z65" s="167" t="n">
        <x:f>IF(OR(X65=0,Y65=""),0,IF(OR(Listas!$B$13&lt;&gt;"OK",U65&gt;0,AH65&gt;0),1,IF(N65="VENCIDO",2,IF(OR(M65="Quarentena",M65="Bloqueado"),3,IF(N65="CRÍTICO",4,5)))))</x:f>
        <x:v>0</x:v>
      </x:c>
      <x:c r="AA65" s="167" t="n">
        <x:f>IF(Z65=0,0,COUNTIFS($Z$5:$Z$204,"&gt;0",$Z$5:$Z$204,"&lt;"&amp;Z65,$X$5:$X$204,1)+COUNTIFS($Z$5:Z65,Z65,$X$5:X65,1))</x:f>
        <x:v>0</x:v>
      </x:c>
      <x:c r="AB65" s="168"/>
      <x:c r="AC65" s="168"/>
      <x:c r="AD65" s="169"/>
      <x:c r="AE65" s="167" t="str">
        <x:f>IF(X65=0,"",IF(OR(U65&gt;0,Listas!$B$13&lt;&gt;"OK"),"Dados pendentes",IF(J65&lt;=0,"Sem saldo",IF(N65="VENCIDO","Vencidos",IF(OR(M65="Quarentena",M65="Bloqueado"),"Restritos vigentes",IF(OR(N65="CRÍTICO",N65="VENCE NA JANELA"),"Liberados na janela","Demais liberados"))))))</x:f>
      </x:c>
      <x:c r="AF65" s="167" t="str">
        <x:f>IF(A65&lt;&gt;"",A65,IF(U65&gt;0,"Sem ID (linha "&amp;ROW()&amp;")",""))</x:f>
      </x:c>
      <x:c r="AG65" s="167" t="str">
        <x:f>IF(AD65="","",IF(OR(NOT(ISNUMBER(AD65)),AD65&lt;=0),"Prazo da ação inválido",""))</x:f>
      </x:c>
      <x:c r="AH65" s="167" t="n">
        <x:f>IF(AG65="",0,1)</x:f>
        <x:v>0</x:v>
      </x:c>
    </x:row>
    <x:row r="66" ht="32" customHeight="1">
      <x:c r="A66" s="27"/>
      <x:c r="B66" s="27"/>
      <x:c r="C66" s="40" t="str">
        <x:f>IF($B66="","",IFERROR(INDEX(Produtos!$B$5:$B$204,MATCH($B66,Produtos!$A$5:$A$204,0)),""))</x:f>
      </x:c>
      <x:c r="D66" s="170"/>
      <x:c r="E66" s="179"/>
      <x:c r="F66" s="179"/>
      <x:c r="G66" s="179"/>
      <x:c r="H66" s="40" t="str">
        <x:f>IF(A66="","",IF(OR(S66&lt;&gt;"",Listas!$B$13&lt;&gt;"OK"),"n.a.",G66-Listas!$B$6))</x:f>
      </x:c>
      <x:c r="I66" s="40"/>
      <x:c r="J66" s="40" t="str">
        <x:f>IF(A66="","",IF(OR(S66&lt;&gt;"",T66&gt;0,Listas!$B$13&lt;&gt;"OK"),"n.a.",SUMIFS(Movimentacoes!$H$5:$H$304,Movimentacoes!$D$5:$D$304,A66,Movimentacoes!$B$5:$B$304,"&lt;="&amp;Listas!$B$6)))</x:f>
      </x:c>
      <x:c r="K66" s="180"/>
      <x:c r="L66" s="181" t="str">
        <x:f>IF(A66="","",IF(OR(U66&gt;0,Listas!$B$13&lt;&gt;"OK"),"n.a.",J66*K66))</x:f>
      </x:c>
      <x:c r="M66" s="27"/>
      <x:c r="N66" s="40" t="str">
        <x:f>IF(A66="","",IF(OR(U66&gt;0,Listas!$B$13&lt;&gt;"OK"),"REVISAR DADOS",IF(J66=0,"SEM SALDO",IF(G66&lt;Listas!$B$6,"VENCIDO",IF(H66&lt;=Listas!$B$7,"CRÍTICO",IF(H66&lt;=Listas!$B$8,"VENCE NA JANELA","OK"))))))</x:f>
      </x:c>
      <x:c r="O66" s="41" t="str">
        <x:f>IF(A66="","",IF(AND(ISNUMBER(V66),V66&gt;0),G66,""))</x:f>
      </x:c>
      <x:c r="P66" s="40" t="str">
        <x:f>IF(A66="","",IF(OR(U66&gt;0,Listas!$B$13&lt;&gt;"OK"),"REVISAR DADOS",IF(J66=0,"ARQUIVAR LOTE",IF(M66="Quarentena","DECIDIR LIBERAÇÃO",IF(M66="Bloqueado","SEGREGAR E INVESTIGAR",IF(M66="Esgotado","REVISAR STATUS COM SALDO",IF(N66="VENCIDO","SEGREGAR E AVALIAR DESTINAÇÃO",IF(OR(N66="CRÍTICO",N66="VENCE NA JANELA"),"PRIORIZAR FEFO","MANTER ROTAÇÃO"))))))))</x:f>
      </x:c>
      <x:c r="Q66" s="27"/>
      <x:c r="R66" s="181" t="str">
        <x:f>IF(A66="","",IF(OR(U66&gt;0,Listas!$B$13&lt;&gt;"OK"),"n.a.",IF(OR(N66="VENCIDO",N66="CRÍTICO",N66="VENCE NA JANELA",M66="Quarentena",M66="Bloqueado"),L66,0)))</x:f>
      </x:c>
      <x:c r="S66" s="163" t="str">
        <x:f>IF(COUNTA(A66:B66,D66:G66,I66,K66,M66,Q66,AB66:AD66)=0,"",IF(OR(A66="",COUNTIFS($A$5:$A$204,A66)&lt;&gt;1),"Lote ausente ou duplicado",IF(OR(B66="",COUNTIFS(Produtos!$A$5:$A$204,B66)&lt;&gt;1),"SKU ausente ou desconhecido",IF(COUNTIFS(Produtos!$A$5:$A$204,B66,Produtos!$R$5:$R$204,1)&gt;0,"Revisar cadastro do produto",IF(OR(NOT(ISNUMBER(E66)),E66&lt;=0,NOT(ISNUMBER(G66)),G66&lt;=0,G66&lt;E66),"Recebimento ou validade inválida",IF(AND(F66&lt;&gt;"",OR(NOT(ISNUMBER(F66)),F66&lt;=0,F66&gt;E66)),"Fabricação inválida ou posterior ao recebimento",IF(OR(NOT(ISNUMBER(K66)),K66&lt;0,NOT(ISNUMBER(I66)),I66&lt;0),"Quantidade recebida ou custo inválido",IF(AND(M66&lt;&gt;"Liberado",M66&lt;&gt;"Quarentena",M66&lt;&gt;"Bloqueado",M66&lt;&gt;"Esgotado"),"Status de lote inválido",""))))))))</x:f>
      </x:c>
      <x:c r="T66" s="163" t="n">
        <x:f>IF(A66="",0,COUNTIFS(Movimentacoes!$D$5:$D$304,A66,Movimentacoes!$P$5:$P$304,1))</x:f>
        <x:v>0</x:v>
      </x:c>
      <x:c r="U66" s="163" t="n">
        <x:f>IF(COUNTA(A66:B66,D66:G66,I66,K66,M66,Q66,AB66:AD66)=0,0,IF(OR(S66&lt;&gt;"",T66&gt;0),1,IF(ISNUMBER(J66),IF(OR(J66&lt;0,AND(J66&gt;0,M66="Esgotado")),1,0),0)))</x:f>
        <x:v>0</x:v>
      </x:c>
      <x:c r="V66" s="163" t="str">
        <x:f>IF(A66="","",IF(OR(U66&gt;0,Listas!$B$13&lt;&gt;"OK"),"n.a.",IF(AND(J66&gt;0,M66="Liberado",G66&gt;=Listas!$B$6),J66,0)))</x:f>
      </x:c>
      <x:c r="W66" s="163" t="str">
        <x:f>IF(A66="","",IF(OR(U66&gt;0,Listas!$B$13&lt;&gt;"OK"),"n.a.",V66*K66))</x:f>
      </x:c>
      <x:c r="X66" s="167" t="n">
        <x:f>IF(COUNTA(A66:B66,D66:G66,I66,K66,M66,Q66,AB66:AD66)=0,0,IF(OR(Listas!$B$19="Todos",B66=Listas!$B$19,COUNTIFS(Produtos!$A$5:$A$204,B66)&lt;&gt;1),1,0))</x:f>
        <x:v>0</x:v>
      </x:c>
      <x:c r="Y66" s="167" t="str">
        <x:f>IF(X66=0,"",IF(Listas!$B$13&lt;&gt;"OK","Revisar parâmetros",IF(U66&gt;0,IF(S66&lt;&gt;"",S66,IF(T66&gt;0,"Revisar movimentos",IF(AND(ISNUMBER(J66),J66&lt;0),"Saldo negativo","Status esgotado com saldo"))),IF(AG66&lt;&gt;"",AG66&amp;". ","")&amp;IF(J66&lt;=0,"",IF(N66="VENCIDO","Validade vencida. ","")&amp;IF(M66="Quarentena","Em quarentena. ","")&amp;IF(M66="Bloqueado","Lote bloqueado. ","")&amp;IF(N66="CRÍTICO","Validade crítica. ","")&amp;IF(N66="VENCE NA JANELA","Vence na janela. ","")))))</x:f>
      </x:c>
      <x:c r="Z66" s="167" t="n">
        <x:f>IF(OR(X66=0,Y66=""),0,IF(OR(Listas!$B$13&lt;&gt;"OK",U66&gt;0,AH66&gt;0),1,IF(N66="VENCIDO",2,IF(OR(M66="Quarentena",M66="Bloqueado"),3,IF(N66="CRÍTICO",4,5)))))</x:f>
        <x:v>0</x:v>
      </x:c>
      <x:c r="AA66" s="167" t="n">
        <x:f>IF(Z66=0,0,COUNTIFS($Z$5:$Z$204,"&gt;0",$Z$5:$Z$204,"&lt;"&amp;Z66,$X$5:$X$204,1)+COUNTIFS($Z$5:Z66,Z66,$X$5:X66,1))</x:f>
        <x:v>0</x:v>
      </x:c>
      <x:c r="AB66" s="168"/>
      <x:c r="AC66" s="168"/>
      <x:c r="AD66" s="169"/>
      <x:c r="AE66" s="167" t="str">
        <x:f>IF(X66=0,"",IF(OR(U66&gt;0,Listas!$B$13&lt;&gt;"OK"),"Dados pendentes",IF(J66&lt;=0,"Sem saldo",IF(N66="VENCIDO","Vencidos",IF(OR(M66="Quarentena",M66="Bloqueado"),"Restritos vigentes",IF(OR(N66="CRÍTICO",N66="VENCE NA JANELA"),"Liberados na janela","Demais liberados"))))))</x:f>
      </x:c>
      <x:c r="AF66" s="167" t="str">
        <x:f>IF(A66&lt;&gt;"",A66,IF(U66&gt;0,"Sem ID (linha "&amp;ROW()&amp;")",""))</x:f>
      </x:c>
      <x:c r="AG66" s="167" t="str">
        <x:f>IF(AD66="","",IF(OR(NOT(ISNUMBER(AD66)),AD66&lt;=0),"Prazo da ação inválido",""))</x:f>
      </x:c>
      <x:c r="AH66" s="167" t="n">
        <x:f>IF(AG66="",0,1)</x:f>
        <x:v>0</x:v>
      </x:c>
    </x:row>
    <x:row r="67" ht="32" customHeight="1">
      <x:c r="A67" s="27"/>
      <x:c r="B67" s="27"/>
      <x:c r="C67" s="40" t="str">
        <x:f>IF($B67="","",IFERROR(INDEX(Produtos!$B$5:$B$204,MATCH($B67,Produtos!$A$5:$A$204,0)),""))</x:f>
      </x:c>
      <x:c r="D67" s="170"/>
      <x:c r="E67" s="179"/>
      <x:c r="F67" s="179"/>
      <x:c r="G67" s="179"/>
      <x:c r="H67" s="40" t="str">
        <x:f>IF(A67="","",IF(OR(S67&lt;&gt;"",Listas!$B$13&lt;&gt;"OK"),"n.a.",G67-Listas!$B$6))</x:f>
      </x:c>
      <x:c r="I67" s="40"/>
      <x:c r="J67" s="40" t="str">
        <x:f>IF(A67="","",IF(OR(S67&lt;&gt;"",T67&gt;0,Listas!$B$13&lt;&gt;"OK"),"n.a.",SUMIFS(Movimentacoes!$H$5:$H$304,Movimentacoes!$D$5:$D$304,A67,Movimentacoes!$B$5:$B$304,"&lt;="&amp;Listas!$B$6)))</x:f>
      </x:c>
      <x:c r="K67" s="180"/>
      <x:c r="L67" s="181" t="str">
        <x:f>IF(A67="","",IF(OR(U67&gt;0,Listas!$B$13&lt;&gt;"OK"),"n.a.",J67*K67))</x:f>
      </x:c>
      <x:c r="M67" s="27"/>
      <x:c r="N67" s="40" t="str">
        <x:f>IF(A67="","",IF(OR(U67&gt;0,Listas!$B$13&lt;&gt;"OK"),"REVISAR DADOS",IF(J67=0,"SEM SALDO",IF(G67&lt;Listas!$B$6,"VENCIDO",IF(H67&lt;=Listas!$B$7,"CRÍTICO",IF(H67&lt;=Listas!$B$8,"VENCE NA JANELA","OK"))))))</x:f>
      </x:c>
      <x:c r="O67" s="41" t="str">
        <x:f>IF(A67="","",IF(AND(ISNUMBER(V67),V67&gt;0),G67,""))</x:f>
      </x:c>
      <x:c r="P67" s="40" t="str">
        <x:f>IF(A67="","",IF(OR(U67&gt;0,Listas!$B$13&lt;&gt;"OK"),"REVISAR DADOS",IF(J67=0,"ARQUIVAR LOTE",IF(M67="Quarentena","DECIDIR LIBERAÇÃO",IF(M67="Bloqueado","SEGREGAR E INVESTIGAR",IF(M67="Esgotado","REVISAR STATUS COM SALDO",IF(N67="VENCIDO","SEGREGAR E AVALIAR DESTINAÇÃO",IF(OR(N67="CRÍTICO",N67="VENCE NA JANELA"),"PRIORIZAR FEFO","MANTER ROTAÇÃO"))))))))</x:f>
      </x:c>
      <x:c r="Q67" s="27"/>
      <x:c r="R67" s="181" t="str">
        <x:f>IF(A67="","",IF(OR(U67&gt;0,Listas!$B$13&lt;&gt;"OK"),"n.a.",IF(OR(N67="VENCIDO",N67="CRÍTICO",N67="VENCE NA JANELA",M67="Quarentena",M67="Bloqueado"),L67,0)))</x:f>
      </x:c>
      <x:c r="S67" s="163" t="str">
        <x:f>IF(COUNTA(A67:B67,D67:G67,I67,K67,M67,Q67,AB67:AD67)=0,"",IF(OR(A67="",COUNTIFS($A$5:$A$204,A67)&lt;&gt;1),"Lote ausente ou duplicado",IF(OR(B67="",COUNTIFS(Produtos!$A$5:$A$204,B67)&lt;&gt;1),"SKU ausente ou desconhecido",IF(COUNTIFS(Produtos!$A$5:$A$204,B67,Produtos!$R$5:$R$204,1)&gt;0,"Revisar cadastro do produto",IF(OR(NOT(ISNUMBER(E67)),E67&lt;=0,NOT(ISNUMBER(G67)),G67&lt;=0,G67&lt;E67),"Recebimento ou validade inválida",IF(AND(F67&lt;&gt;"",OR(NOT(ISNUMBER(F67)),F67&lt;=0,F67&gt;E67)),"Fabricação inválida ou posterior ao recebimento",IF(OR(NOT(ISNUMBER(K67)),K67&lt;0,NOT(ISNUMBER(I67)),I67&lt;0),"Quantidade recebida ou custo inválido",IF(AND(M67&lt;&gt;"Liberado",M67&lt;&gt;"Quarentena",M67&lt;&gt;"Bloqueado",M67&lt;&gt;"Esgotado"),"Status de lote inválido",""))))))))</x:f>
      </x:c>
      <x:c r="T67" s="163" t="n">
        <x:f>IF(A67="",0,COUNTIFS(Movimentacoes!$D$5:$D$304,A67,Movimentacoes!$P$5:$P$304,1))</x:f>
        <x:v>0</x:v>
      </x:c>
      <x:c r="U67" s="163" t="n">
        <x:f>IF(COUNTA(A67:B67,D67:G67,I67,K67,M67,Q67,AB67:AD67)=0,0,IF(OR(S67&lt;&gt;"",T67&gt;0),1,IF(ISNUMBER(J67),IF(OR(J67&lt;0,AND(J67&gt;0,M67="Esgotado")),1,0),0)))</x:f>
        <x:v>0</x:v>
      </x:c>
      <x:c r="V67" s="163" t="str">
        <x:f>IF(A67="","",IF(OR(U67&gt;0,Listas!$B$13&lt;&gt;"OK"),"n.a.",IF(AND(J67&gt;0,M67="Liberado",G67&gt;=Listas!$B$6),J67,0)))</x:f>
      </x:c>
      <x:c r="W67" s="163" t="str">
        <x:f>IF(A67="","",IF(OR(U67&gt;0,Listas!$B$13&lt;&gt;"OK"),"n.a.",V67*K67))</x:f>
      </x:c>
      <x:c r="X67" s="167" t="n">
        <x:f>IF(COUNTA(A67:B67,D67:G67,I67,K67,M67,Q67,AB67:AD67)=0,0,IF(OR(Listas!$B$19="Todos",B67=Listas!$B$19,COUNTIFS(Produtos!$A$5:$A$204,B67)&lt;&gt;1),1,0))</x:f>
        <x:v>0</x:v>
      </x:c>
      <x:c r="Y67" s="167" t="str">
        <x:f>IF(X67=0,"",IF(Listas!$B$13&lt;&gt;"OK","Revisar parâmetros",IF(U67&gt;0,IF(S67&lt;&gt;"",S67,IF(T67&gt;0,"Revisar movimentos",IF(AND(ISNUMBER(J67),J67&lt;0),"Saldo negativo","Status esgotado com saldo"))),IF(AG67&lt;&gt;"",AG67&amp;". ","")&amp;IF(J67&lt;=0,"",IF(N67="VENCIDO","Validade vencida. ","")&amp;IF(M67="Quarentena","Em quarentena. ","")&amp;IF(M67="Bloqueado","Lote bloqueado. ","")&amp;IF(N67="CRÍTICO","Validade crítica. ","")&amp;IF(N67="VENCE NA JANELA","Vence na janela. ","")))))</x:f>
      </x:c>
      <x:c r="Z67" s="167" t="n">
        <x:f>IF(OR(X67=0,Y67=""),0,IF(OR(Listas!$B$13&lt;&gt;"OK",U67&gt;0,AH67&gt;0),1,IF(N67="VENCIDO",2,IF(OR(M67="Quarentena",M67="Bloqueado"),3,IF(N67="CRÍTICO",4,5)))))</x:f>
        <x:v>0</x:v>
      </x:c>
      <x:c r="AA67" s="167" t="n">
        <x:f>IF(Z67=0,0,COUNTIFS($Z$5:$Z$204,"&gt;0",$Z$5:$Z$204,"&lt;"&amp;Z67,$X$5:$X$204,1)+COUNTIFS($Z$5:Z67,Z67,$X$5:X67,1))</x:f>
        <x:v>0</x:v>
      </x:c>
      <x:c r="AB67" s="168"/>
      <x:c r="AC67" s="168"/>
      <x:c r="AD67" s="169"/>
      <x:c r="AE67" s="167" t="str">
        <x:f>IF(X67=0,"",IF(OR(U67&gt;0,Listas!$B$13&lt;&gt;"OK"),"Dados pendentes",IF(J67&lt;=0,"Sem saldo",IF(N67="VENCIDO","Vencidos",IF(OR(M67="Quarentena",M67="Bloqueado"),"Restritos vigentes",IF(OR(N67="CRÍTICO",N67="VENCE NA JANELA"),"Liberados na janela","Demais liberados"))))))</x:f>
      </x:c>
      <x:c r="AF67" s="167" t="str">
        <x:f>IF(A67&lt;&gt;"",A67,IF(U67&gt;0,"Sem ID (linha "&amp;ROW()&amp;")",""))</x:f>
      </x:c>
      <x:c r="AG67" s="167" t="str">
        <x:f>IF(AD67="","",IF(OR(NOT(ISNUMBER(AD67)),AD67&lt;=0),"Prazo da ação inválido",""))</x:f>
      </x:c>
      <x:c r="AH67" s="167" t="n">
        <x:f>IF(AG67="",0,1)</x:f>
        <x:v>0</x:v>
      </x:c>
    </x:row>
    <x:row r="68" ht="32" customHeight="1">
      <x:c r="A68" s="27"/>
      <x:c r="B68" s="27"/>
      <x:c r="C68" s="40" t="str">
        <x:f>IF($B68="","",IFERROR(INDEX(Produtos!$B$5:$B$204,MATCH($B68,Produtos!$A$5:$A$204,0)),""))</x:f>
      </x:c>
      <x:c r="D68" s="170"/>
      <x:c r="E68" s="179"/>
      <x:c r="F68" s="179"/>
      <x:c r="G68" s="179"/>
      <x:c r="H68" s="40" t="str">
        <x:f>IF(A68="","",IF(OR(S68&lt;&gt;"",Listas!$B$13&lt;&gt;"OK"),"n.a.",G68-Listas!$B$6))</x:f>
      </x:c>
      <x:c r="I68" s="40"/>
      <x:c r="J68" s="40" t="str">
        <x:f>IF(A68="","",IF(OR(S68&lt;&gt;"",T68&gt;0,Listas!$B$13&lt;&gt;"OK"),"n.a.",SUMIFS(Movimentacoes!$H$5:$H$304,Movimentacoes!$D$5:$D$304,A68,Movimentacoes!$B$5:$B$304,"&lt;="&amp;Listas!$B$6)))</x:f>
      </x:c>
      <x:c r="K68" s="180"/>
      <x:c r="L68" s="181" t="str">
        <x:f>IF(A68="","",IF(OR(U68&gt;0,Listas!$B$13&lt;&gt;"OK"),"n.a.",J68*K68))</x:f>
      </x:c>
      <x:c r="M68" s="27"/>
      <x:c r="N68" s="40" t="str">
        <x:f>IF(A68="","",IF(OR(U68&gt;0,Listas!$B$13&lt;&gt;"OK"),"REVISAR DADOS",IF(J68=0,"SEM SALDO",IF(G68&lt;Listas!$B$6,"VENCIDO",IF(H68&lt;=Listas!$B$7,"CRÍTICO",IF(H68&lt;=Listas!$B$8,"VENCE NA JANELA","OK"))))))</x:f>
      </x:c>
      <x:c r="O68" s="41" t="str">
        <x:f>IF(A68="","",IF(AND(ISNUMBER(V68),V68&gt;0),G68,""))</x:f>
      </x:c>
      <x:c r="P68" s="40" t="str">
        <x:f>IF(A68="","",IF(OR(U68&gt;0,Listas!$B$13&lt;&gt;"OK"),"REVISAR DADOS",IF(J68=0,"ARQUIVAR LOTE",IF(M68="Quarentena","DECIDIR LIBERAÇÃO",IF(M68="Bloqueado","SEGREGAR E INVESTIGAR",IF(M68="Esgotado","REVISAR STATUS COM SALDO",IF(N68="VENCIDO","SEGREGAR E AVALIAR DESTINAÇÃO",IF(OR(N68="CRÍTICO",N68="VENCE NA JANELA"),"PRIORIZAR FEFO","MANTER ROTAÇÃO"))))))))</x:f>
      </x:c>
      <x:c r="Q68" s="27"/>
      <x:c r="R68" s="181" t="str">
        <x:f>IF(A68="","",IF(OR(U68&gt;0,Listas!$B$13&lt;&gt;"OK"),"n.a.",IF(OR(N68="VENCIDO",N68="CRÍTICO",N68="VENCE NA JANELA",M68="Quarentena",M68="Bloqueado"),L68,0)))</x:f>
      </x:c>
      <x:c r="S68" s="163" t="str">
        <x:f>IF(COUNTA(A68:B68,D68:G68,I68,K68,M68,Q68,AB68:AD68)=0,"",IF(OR(A68="",COUNTIFS($A$5:$A$204,A68)&lt;&gt;1),"Lote ausente ou duplicado",IF(OR(B68="",COUNTIFS(Produtos!$A$5:$A$204,B68)&lt;&gt;1),"SKU ausente ou desconhecido",IF(COUNTIFS(Produtos!$A$5:$A$204,B68,Produtos!$R$5:$R$204,1)&gt;0,"Revisar cadastro do produto",IF(OR(NOT(ISNUMBER(E68)),E68&lt;=0,NOT(ISNUMBER(G68)),G68&lt;=0,G68&lt;E68),"Recebimento ou validade inválida",IF(AND(F68&lt;&gt;"",OR(NOT(ISNUMBER(F68)),F68&lt;=0,F68&gt;E68)),"Fabricação inválida ou posterior ao recebimento",IF(OR(NOT(ISNUMBER(K68)),K68&lt;0,NOT(ISNUMBER(I68)),I68&lt;0),"Quantidade recebida ou custo inválido",IF(AND(M68&lt;&gt;"Liberado",M68&lt;&gt;"Quarentena",M68&lt;&gt;"Bloqueado",M68&lt;&gt;"Esgotado"),"Status de lote inválido",""))))))))</x:f>
      </x:c>
      <x:c r="T68" s="163" t="n">
        <x:f>IF(A68="",0,COUNTIFS(Movimentacoes!$D$5:$D$304,A68,Movimentacoes!$P$5:$P$304,1))</x:f>
        <x:v>0</x:v>
      </x:c>
      <x:c r="U68" s="163" t="n">
        <x:f>IF(COUNTA(A68:B68,D68:G68,I68,K68,M68,Q68,AB68:AD68)=0,0,IF(OR(S68&lt;&gt;"",T68&gt;0),1,IF(ISNUMBER(J68),IF(OR(J68&lt;0,AND(J68&gt;0,M68="Esgotado")),1,0),0)))</x:f>
        <x:v>0</x:v>
      </x:c>
      <x:c r="V68" s="163" t="str">
        <x:f>IF(A68="","",IF(OR(U68&gt;0,Listas!$B$13&lt;&gt;"OK"),"n.a.",IF(AND(J68&gt;0,M68="Liberado",G68&gt;=Listas!$B$6),J68,0)))</x:f>
      </x:c>
      <x:c r="W68" s="163" t="str">
        <x:f>IF(A68="","",IF(OR(U68&gt;0,Listas!$B$13&lt;&gt;"OK"),"n.a.",V68*K68))</x:f>
      </x:c>
      <x:c r="X68" s="167" t="n">
        <x:f>IF(COUNTA(A68:B68,D68:G68,I68,K68,M68,Q68,AB68:AD68)=0,0,IF(OR(Listas!$B$19="Todos",B68=Listas!$B$19,COUNTIFS(Produtos!$A$5:$A$204,B68)&lt;&gt;1),1,0))</x:f>
        <x:v>0</x:v>
      </x:c>
      <x:c r="Y68" s="167" t="str">
        <x:f>IF(X68=0,"",IF(Listas!$B$13&lt;&gt;"OK","Revisar parâmetros",IF(U68&gt;0,IF(S68&lt;&gt;"",S68,IF(T68&gt;0,"Revisar movimentos",IF(AND(ISNUMBER(J68),J68&lt;0),"Saldo negativo","Status esgotado com saldo"))),IF(AG68&lt;&gt;"",AG68&amp;". ","")&amp;IF(J68&lt;=0,"",IF(N68="VENCIDO","Validade vencida. ","")&amp;IF(M68="Quarentena","Em quarentena. ","")&amp;IF(M68="Bloqueado","Lote bloqueado. ","")&amp;IF(N68="CRÍTICO","Validade crítica. ","")&amp;IF(N68="VENCE NA JANELA","Vence na janela. ","")))))</x:f>
      </x:c>
      <x:c r="Z68" s="167" t="n">
        <x:f>IF(OR(X68=0,Y68=""),0,IF(OR(Listas!$B$13&lt;&gt;"OK",U68&gt;0,AH68&gt;0),1,IF(N68="VENCIDO",2,IF(OR(M68="Quarentena",M68="Bloqueado"),3,IF(N68="CRÍTICO",4,5)))))</x:f>
        <x:v>0</x:v>
      </x:c>
      <x:c r="AA68" s="167" t="n">
        <x:f>IF(Z68=0,0,COUNTIFS($Z$5:$Z$204,"&gt;0",$Z$5:$Z$204,"&lt;"&amp;Z68,$X$5:$X$204,1)+COUNTIFS($Z$5:Z68,Z68,$X$5:X68,1))</x:f>
        <x:v>0</x:v>
      </x:c>
      <x:c r="AB68" s="168"/>
      <x:c r="AC68" s="168"/>
      <x:c r="AD68" s="169"/>
      <x:c r="AE68" s="167" t="str">
        <x:f>IF(X68=0,"",IF(OR(U68&gt;0,Listas!$B$13&lt;&gt;"OK"),"Dados pendentes",IF(J68&lt;=0,"Sem saldo",IF(N68="VENCIDO","Vencidos",IF(OR(M68="Quarentena",M68="Bloqueado"),"Restritos vigentes",IF(OR(N68="CRÍTICO",N68="VENCE NA JANELA"),"Liberados na janela","Demais liberados"))))))</x:f>
      </x:c>
      <x:c r="AF68" s="167" t="str">
        <x:f>IF(A68&lt;&gt;"",A68,IF(U68&gt;0,"Sem ID (linha "&amp;ROW()&amp;")",""))</x:f>
      </x:c>
      <x:c r="AG68" s="167" t="str">
        <x:f>IF(AD68="","",IF(OR(NOT(ISNUMBER(AD68)),AD68&lt;=0),"Prazo da ação inválido",""))</x:f>
      </x:c>
      <x:c r="AH68" s="167" t="n">
        <x:f>IF(AG68="",0,1)</x:f>
        <x:v>0</x:v>
      </x:c>
    </x:row>
    <x:row r="69" ht="32" customHeight="1">
      <x:c r="A69" s="27"/>
      <x:c r="B69" s="27"/>
      <x:c r="C69" s="40" t="str">
        <x:f>IF($B69="","",IFERROR(INDEX(Produtos!$B$5:$B$204,MATCH($B69,Produtos!$A$5:$A$204,0)),""))</x:f>
      </x:c>
      <x:c r="D69" s="170"/>
      <x:c r="E69" s="179"/>
      <x:c r="F69" s="179"/>
      <x:c r="G69" s="179"/>
      <x:c r="H69" s="40" t="str">
        <x:f>IF(A69="","",IF(OR(S69&lt;&gt;"",Listas!$B$13&lt;&gt;"OK"),"n.a.",G69-Listas!$B$6))</x:f>
      </x:c>
      <x:c r="I69" s="40"/>
      <x:c r="J69" s="40" t="str">
        <x:f>IF(A69="","",IF(OR(S69&lt;&gt;"",T69&gt;0,Listas!$B$13&lt;&gt;"OK"),"n.a.",SUMIFS(Movimentacoes!$H$5:$H$304,Movimentacoes!$D$5:$D$304,A69,Movimentacoes!$B$5:$B$304,"&lt;="&amp;Listas!$B$6)))</x:f>
      </x:c>
      <x:c r="K69" s="180"/>
      <x:c r="L69" s="181" t="str">
        <x:f>IF(A69="","",IF(OR(U69&gt;0,Listas!$B$13&lt;&gt;"OK"),"n.a.",J69*K69))</x:f>
      </x:c>
      <x:c r="M69" s="27"/>
      <x:c r="N69" s="40" t="str">
        <x:f>IF(A69="","",IF(OR(U69&gt;0,Listas!$B$13&lt;&gt;"OK"),"REVISAR DADOS",IF(J69=0,"SEM SALDO",IF(G69&lt;Listas!$B$6,"VENCIDO",IF(H69&lt;=Listas!$B$7,"CRÍTICO",IF(H69&lt;=Listas!$B$8,"VENCE NA JANELA","OK"))))))</x:f>
      </x:c>
      <x:c r="O69" s="41" t="str">
        <x:f>IF(A69="","",IF(AND(ISNUMBER(V69),V69&gt;0),G69,""))</x:f>
      </x:c>
      <x:c r="P69" s="40" t="str">
        <x:f>IF(A69="","",IF(OR(U69&gt;0,Listas!$B$13&lt;&gt;"OK"),"REVISAR DADOS",IF(J69=0,"ARQUIVAR LOTE",IF(M69="Quarentena","DECIDIR LIBERAÇÃO",IF(M69="Bloqueado","SEGREGAR E INVESTIGAR",IF(M69="Esgotado","REVISAR STATUS COM SALDO",IF(N69="VENCIDO","SEGREGAR E AVALIAR DESTINAÇÃO",IF(OR(N69="CRÍTICO",N69="VENCE NA JANELA"),"PRIORIZAR FEFO","MANTER ROTAÇÃO"))))))))</x:f>
      </x:c>
      <x:c r="Q69" s="27"/>
      <x:c r="R69" s="181" t="str">
        <x:f>IF(A69="","",IF(OR(U69&gt;0,Listas!$B$13&lt;&gt;"OK"),"n.a.",IF(OR(N69="VENCIDO",N69="CRÍTICO",N69="VENCE NA JANELA",M69="Quarentena",M69="Bloqueado"),L69,0)))</x:f>
      </x:c>
      <x:c r="S69" s="163" t="str">
        <x:f>IF(COUNTA(A69:B69,D69:G69,I69,K69,M69,Q69,AB69:AD69)=0,"",IF(OR(A69="",COUNTIFS($A$5:$A$204,A69)&lt;&gt;1),"Lote ausente ou duplicado",IF(OR(B69="",COUNTIFS(Produtos!$A$5:$A$204,B69)&lt;&gt;1),"SKU ausente ou desconhecido",IF(COUNTIFS(Produtos!$A$5:$A$204,B69,Produtos!$R$5:$R$204,1)&gt;0,"Revisar cadastro do produto",IF(OR(NOT(ISNUMBER(E69)),E69&lt;=0,NOT(ISNUMBER(G69)),G69&lt;=0,G69&lt;E69),"Recebimento ou validade inválida",IF(AND(F69&lt;&gt;"",OR(NOT(ISNUMBER(F69)),F69&lt;=0,F69&gt;E69)),"Fabricação inválida ou posterior ao recebimento",IF(OR(NOT(ISNUMBER(K69)),K69&lt;0,NOT(ISNUMBER(I69)),I69&lt;0),"Quantidade recebida ou custo inválido",IF(AND(M69&lt;&gt;"Liberado",M69&lt;&gt;"Quarentena",M69&lt;&gt;"Bloqueado",M69&lt;&gt;"Esgotado"),"Status de lote inválido",""))))))))</x:f>
      </x:c>
      <x:c r="T69" s="163" t="n">
        <x:f>IF(A69="",0,COUNTIFS(Movimentacoes!$D$5:$D$304,A69,Movimentacoes!$P$5:$P$304,1))</x:f>
        <x:v>0</x:v>
      </x:c>
      <x:c r="U69" s="163" t="n">
        <x:f>IF(COUNTA(A69:B69,D69:G69,I69,K69,M69,Q69,AB69:AD69)=0,0,IF(OR(S69&lt;&gt;"",T69&gt;0),1,IF(ISNUMBER(J69),IF(OR(J69&lt;0,AND(J69&gt;0,M69="Esgotado")),1,0),0)))</x:f>
        <x:v>0</x:v>
      </x:c>
      <x:c r="V69" s="163" t="str">
        <x:f>IF(A69="","",IF(OR(U69&gt;0,Listas!$B$13&lt;&gt;"OK"),"n.a.",IF(AND(J69&gt;0,M69="Liberado",G69&gt;=Listas!$B$6),J69,0)))</x:f>
      </x:c>
      <x:c r="W69" s="163" t="str">
        <x:f>IF(A69="","",IF(OR(U69&gt;0,Listas!$B$13&lt;&gt;"OK"),"n.a.",V69*K69))</x:f>
      </x:c>
      <x:c r="X69" s="167" t="n">
        <x:f>IF(COUNTA(A69:B69,D69:G69,I69,K69,M69,Q69,AB69:AD69)=0,0,IF(OR(Listas!$B$19="Todos",B69=Listas!$B$19,COUNTIFS(Produtos!$A$5:$A$204,B69)&lt;&gt;1),1,0))</x:f>
        <x:v>0</x:v>
      </x:c>
      <x:c r="Y69" s="167" t="str">
        <x:f>IF(X69=0,"",IF(Listas!$B$13&lt;&gt;"OK","Revisar parâmetros",IF(U69&gt;0,IF(S69&lt;&gt;"",S69,IF(T69&gt;0,"Revisar movimentos",IF(AND(ISNUMBER(J69),J69&lt;0),"Saldo negativo","Status esgotado com saldo"))),IF(AG69&lt;&gt;"",AG69&amp;". ","")&amp;IF(J69&lt;=0,"",IF(N69="VENCIDO","Validade vencida. ","")&amp;IF(M69="Quarentena","Em quarentena. ","")&amp;IF(M69="Bloqueado","Lote bloqueado. ","")&amp;IF(N69="CRÍTICO","Validade crítica. ","")&amp;IF(N69="VENCE NA JANELA","Vence na janela. ","")))))</x:f>
      </x:c>
      <x:c r="Z69" s="167" t="n">
        <x:f>IF(OR(X69=0,Y69=""),0,IF(OR(Listas!$B$13&lt;&gt;"OK",U69&gt;0,AH69&gt;0),1,IF(N69="VENCIDO",2,IF(OR(M69="Quarentena",M69="Bloqueado"),3,IF(N69="CRÍTICO",4,5)))))</x:f>
        <x:v>0</x:v>
      </x:c>
      <x:c r="AA69" s="167" t="n">
        <x:f>IF(Z69=0,0,COUNTIFS($Z$5:$Z$204,"&gt;0",$Z$5:$Z$204,"&lt;"&amp;Z69,$X$5:$X$204,1)+COUNTIFS($Z$5:Z69,Z69,$X$5:X69,1))</x:f>
        <x:v>0</x:v>
      </x:c>
      <x:c r="AB69" s="168"/>
      <x:c r="AC69" s="168"/>
      <x:c r="AD69" s="169"/>
      <x:c r="AE69" s="167" t="str">
        <x:f>IF(X69=0,"",IF(OR(U69&gt;0,Listas!$B$13&lt;&gt;"OK"),"Dados pendentes",IF(J69&lt;=0,"Sem saldo",IF(N69="VENCIDO","Vencidos",IF(OR(M69="Quarentena",M69="Bloqueado"),"Restritos vigentes",IF(OR(N69="CRÍTICO",N69="VENCE NA JANELA"),"Liberados na janela","Demais liberados"))))))</x:f>
      </x:c>
      <x:c r="AF69" s="167" t="str">
        <x:f>IF(A69&lt;&gt;"",A69,IF(U69&gt;0,"Sem ID (linha "&amp;ROW()&amp;")",""))</x:f>
      </x:c>
      <x:c r="AG69" s="167" t="str">
        <x:f>IF(AD69="","",IF(OR(NOT(ISNUMBER(AD69)),AD69&lt;=0),"Prazo da ação inválido",""))</x:f>
      </x:c>
      <x:c r="AH69" s="167" t="n">
        <x:f>IF(AG69="",0,1)</x:f>
        <x:v>0</x:v>
      </x:c>
    </x:row>
    <x:row r="70" ht="32" customHeight="1">
      <x:c r="A70" s="27"/>
      <x:c r="B70" s="27"/>
      <x:c r="C70" s="40" t="str">
        <x:f>IF($B70="","",IFERROR(INDEX(Produtos!$B$5:$B$204,MATCH($B70,Produtos!$A$5:$A$204,0)),""))</x:f>
      </x:c>
      <x:c r="D70" s="170"/>
      <x:c r="E70" s="179"/>
      <x:c r="F70" s="179"/>
      <x:c r="G70" s="179"/>
      <x:c r="H70" s="40" t="str">
        <x:f>IF(A70="","",IF(OR(S70&lt;&gt;"",Listas!$B$13&lt;&gt;"OK"),"n.a.",G70-Listas!$B$6))</x:f>
      </x:c>
      <x:c r="I70" s="40"/>
      <x:c r="J70" s="40" t="str">
        <x:f>IF(A70="","",IF(OR(S70&lt;&gt;"",T70&gt;0,Listas!$B$13&lt;&gt;"OK"),"n.a.",SUMIFS(Movimentacoes!$H$5:$H$304,Movimentacoes!$D$5:$D$304,A70,Movimentacoes!$B$5:$B$304,"&lt;="&amp;Listas!$B$6)))</x:f>
      </x:c>
      <x:c r="K70" s="180"/>
      <x:c r="L70" s="181" t="str">
        <x:f>IF(A70="","",IF(OR(U70&gt;0,Listas!$B$13&lt;&gt;"OK"),"n.a.",J70*K70))</x:f>
      </x:c>
      <x:c r="M70" s="27"/>
      <x:c r="N70" s="40" t="str">
        <x:f>IF(A70="","",IF(OR(U70&gt;0,Listas!$B$13&lt;&gt;"OK"),"REVISAR DADOS",IF(J70=0,"SEM SALDO",IF(G70&lt;Listas!$B$6,"VENCIDO",IF(H70&lt;=Listas!$B$7,"CRÍTICO",IF(H70&lt;=Listas!$B$8,"VENCE NA JANELA","OK"))))))</x:f>
      </x:c>
      <x:c r="O70" s="41" t="str">
        <x:f>IF(A70="","",IF(AND(ISNUMBER(V70),V70&gt;0),G70,""))</x:f>
      </x:c>
      <x:c r="P70" s="40" t="str">
        <x:f>IF(A70="","",IF(OR(U70&gt;0,Listas!$B$13&lt;&gt;"OK"),"REVISAR DADOS",IF(J70=0,"ARQUIVAR LOTE",IF(M70="Quarentena","DECIDIR LIBERAÇÃO",IF(M70="Bloqueado","SEGREGAR E INVESTIGAR",IF(M70="Esgotado","REVISAR STATUS COM SALDO",IF(N70="VENCIDO","SEGREGAR E AVALIAR DESTINAÇÃO",IF(OR(N70="CRÍTICO",N70="VENCE NA JANELA"),"PRIORIZAR FEFO","MANTER ROTAÇÃO"))))))))</x:f>
      </x:c>
      <x:c r="Q70" s="27"/>
      <x:c r="R70" s="181" t="str">
        <x:f>IF(A70="","",IF(OR(U70&gt;0,Listas!$B$13&lt;&gt;"OK"),"n.a.",IF(OR(N70="VENCIDO",N70="CRÍTICO",N70="VENCE NA JANELA",M70="Quarentena",M70="Bloqueado"),L70,0)))</x:f>
      </x:c>
      <x:c r="S70" s="163" t="str">
        <x:f>IF(COUNTA(A70:B70,D70:G70,I70,K70,M70,Q70,AB70:AD70)=0,"",IF(OR(A70="",COUNTIFS($A$5:$A$204,A70)&lt;&gt;1),"Lote ausente ou duplicado",IF(OR(B70="",COUNTIFS(Produtos!$A$5:$A$204,B70)&lt;&gt;1),"SKU ausente ou desconhecido",IF(COUNTIFS(Produtos!$A$5:$A$204,B70,Produtos!$R$5:$R$204,1)&gt;0,"Revisar cadastro do produto",IF(OR(NOT(ISNUMBER(E70)),E70&lt;=0,NOT(ISNUMBER(G70)),G70&lt;=0,G70&lt;E70),"Recebimento ou validade inválida",IF(AND(F70&lt;&gt;"",OR(NOT(ISNUMBER(F70)),F70&lt;=0,F70&gt;E70)),"Fabricação inválida ou posterior ao recebimento",IF(OR(NOT(ISNUMBER(K70)),K70&lt;0,NOT(ISNUMBER(I70)),I70&lt;0),"Quantidade recebida ou custo inválido",IF(AND(M70&lt;&gt;"Liberado",M70&lt;&gt;"Quarentena",M70&lt;&gt;"Bloqueado",M70&lt;&gt;"Esgotado"),"Status de lote inválido",""))))))))</x:f>
      </x:c>
      <x:c r="T70" s="163" t="n">
        <x:f>IF(A70="",0,COUNTIFS(Movimentacoes!$D$5:$D$304,A70,Movimentacoes!$P$5:$P$304,1))</x:f>
        <x:v>0</x:v>
      </x:c>
      <x:c r="U70" s="163" t="n">
        <x:f>IF(COUNTA(A70:B70,D70:G70,I70,K70,M70,Q70,AB70:AD70)=0,0,IF(OR(S70&lt;&gt;"",T70&gt;0),1,IF(ISNUMBER(J70),IF(OR(J70&lt;0,AND(J70&gt;0,M70="Esgotado")),1,0),0)))</x:f>
        <x:v>0</x:v>
      </x:c>
      <x:c r="V70" s="163" t="str">
        <x:f>IF(A70="","",IF(OR(U70&gt;0,Listas!$B$13&lt;&gt;"OK"),"n.a.",IF(AND(J70&gt;0,M70="Liberado",G70&gt;=Listas!$B$6),J70,0)))</x:f>
      </x:c>
      <x:c r="W70" s="163" t="str">
        <x:f>IF(A70="","",IF(OR(U70&gt;0,Listas!$B$13&lt;&gt;"OK"),"n.a.",V70*K70))</x:f>
      </x:c>
      <x:c r="X70" s="167" t="n">
        <x:f>IF(COUNTA(A70:B70,D70:G70,I70,K70,M70,Q70,AB70:AD70)=0,0,IF(OR(Listas!$B$19="Todos",B70=Listas!$B$19,COUNTIFS(Produtos!$A$5:$A$204,B70)&lt;&gt;1),1,0))</x:f>
        <x:v>0</x:v>
      </x:c>
      <x:c r="Y70" s="167" t="str">
        <x:f>IF(X70=0,"",IF(Listas!$B$13&lt;&gt;"OK","Revisar parâmetros",IF(U70&gt;0,IF(S70&lt;&gt;"",S70,IF(T70&gt;0,"Revisar movimentos",IF(AND(ISNUMBER(J70),J70&lt;0),"Saldo negativo","Status esgotado com saldo"))),IF(AG70&lt;&gt;"",AG70&amp;". ","")&amp;IF(J70&lt;=0,"",IF(N70="VENCIDO","Validade vencida. ","")&amp;IF(M70="Quarentena","Em quarentena. ","")&amp;IF(M70="Bloqueado","Lote bloqueado. ","")&amp;IF(N70="CRÍTICO","Validade crítica. ","")&amp;IF(N70="VENCE NA JANELA","Vence na janela. ","")))))</x:f>
      </x:c>
      <x:c r="Z70" s="167" t="n">
        <x:f>IF(OR(X70=0,Y70=""),0,IF(OR(Listas!$B$13&lt;&gt;"OK",U70&gt;0,AH70&gt;0),1,IF(N70="VENCIDO",2,IF(OR(M70="Quarentena",M70="Bloqueado"),3,IF(N70="CRÍTICO",4,5)))))</x:f>
        <x:v>0</x:v>
      </x:c>
      <x:c r="AA70" s="167" t="n">
        <x:f>IF(Z70=0,0,COUNTIFS($Z$5:$Z$204,"&gt;0",$Z$5:$Z$204,"&lt;"&amp;Z70,$X$5:$X$204,1)+COUNTIFS($Z$5:Z70,Z70,$X$5:X70,1))</x:f>
        <x:v>0</x:v>
      </x:c>
      <x:c r="AB70" s="168"/>
      <x:c r="AC70" s="168"/>
      <x:c r="AD70" s="169"/>
      <x:c r="AE70" s="167" t="str">
        <x:f>IF(X70=0,"",IF(OR(U70&gt;0,Listas!$B$13&lt;&gt;"OK"),"Dados pendentes",IF(J70&lt;=0,"Sem saldo",IF(N70="VENCIDO","Vencidos",IF(OR(M70="Quarentena",M70="Bloqueado"),"Restritos vigentes",IF(OR(N70="CRÍTICO",N70="VENCE NA JANELA"),"Liberados na janela","Demais liberados"))))))</x:f>
      </x:c>
      <x:c r="AF70" s="167" t="str">
        <x:f>IF(A70&lt;&gt;"",A70,IF(U70&gt;0,"Sem ID (linha "&amp;ROW()&amp;")",""))</x:f>
      </x:c>
      <x:c r="AG70" s="167" t="str">
        <x:f>IF(AD70="","",IF(OR(NOT(ISNUMBER(AD70)),AD70&lt;=0),"Prazo da ação inválido",""))</x:f>
      </x:c>
      <x:c r="AH70" s="167" t="n">
        <x:f>IF(AG70="",0,1)</x:f>
        <x:v>0</x:v>
      </x:c>
    </x:row>
    <x:row r="71" ht="32" customHeight="1">
      <x:c r="A71" s="27"/>
      <x:c r="B71" s="27"/>
      <x:c r="C71" s="40" t="str">
        <x:f>IF($B71="","",IFERROR(INDEX(Produtos!$B$5:$B$204,MATCH($B71,Produtos!$A$5:$A$204,0)),""))</x:f>
      </x:c>
      <x:c r="D71" s="170"/>
      <x:c r="E71" s="179"/>
      <x:c r="F71" s="179"/>
      <x:c r="G71" s="179"/>
      <x:c r="H71" s="40" t="str">
        <x:f>IF(A71="","",IF(OR(S71&lt;&gt;"",Listas!$B$13&lt;&gt;"OK"),"n.a.",G71-Listas!$B$6))</x:f>
      </x:c>
      <x:c r="I71" s="40"/>
      <x:c r="J71" s="40" t="str">
        <x:f>IF(A71="","",IF(OR(S71&lt;&gt;"",T71&gt;0,Listas!$B$13&lt;&gt;"OK"),"n.a.",SUMIFS(Movimentacoes!$H$5:$H$304,Movimentacoes!$D$5:$D$304,A71,Movimentacoes!$B$5:$B$304,"&lt;="&amp;Listas!$B$6)))</x:f>
      </x:c>
      <x:c r="K71" s="180"/>
      <x:c r="L71" s="181" t="str">
        <x:f>IF(A71="","",IF(OR(U71&gt;0,Listas!$B$13&lt;&gt;"OK"),"n.a.",J71*K71))</x:f>
      </x:c>
      <x:c r="M71" s="27"/>
      <x:c r="N71" s="40" t="str">
        <x:f>IF(A71="","",IF(OR(U71&gt;0,Listas!$B$13&lt;&gt;"OK"),"REVISAR DADOS",IF(J71=0,"SEM SALDO",IF(G71&lt;Listas!$B$6,"VENCIDO",IF(H71&lt;=Listas!$B$7,"CRÍTICO",IF(H71&lt;=Listas!$B$8,"VENCE NA JANELA","OK"))))))</x:f>
      </x:c>
      <x:c r="O71" s="41" t="str">
        <x:f>IF(A71="","",IF(AND(ISNUMBER(V71),V71&gt;0),G71,""))</x:f>
      </x:c>
      <x:c r="P71" s="40" t="str">
        <x:f>IF(A71="","",IF(OR(U71&gt;0,Listas!$B$13&lt;&gt;"OK"),"REVISAR DADOS",IF(J71=0,"ARQUIVAR LOTE",IF(M71="Quarentena","DECIDIR LIBERAÇÃO",IF(M71="Bloqueado","SEGREGAR E INVESTIGAR",IF(M71="Esgotado","REVISAR STATUS COM SALDO",IF(N71="VENCIDO","SEGREGAR E AVALIAR DESTINAÇÃO",IF(OR(N71="CRÍTICO",N71="VENCE NA JANELA"),"PRIORIZAR FEFO","MANTER ROTAÇÃO"))))))))</x:f>
      </x:c>
      <x:c r="Q71" s="27"/>
      <x:c r="R71" s="181" t="str">
        <x:f>IF(A71="","",IF(OR(U71&gt;0,Listas!$B$13&lt;&gt;"OK"),"n.a.",IF(OR(N71="VENCIDO",N71="CRÍTICO",N71="VENCE NA JANELA",M71="Quarentena",M71="Bloqueado"),L71,0)))</x:f>
      </x:c>
      <x:c r="S71" s="163" t="str">
        <x:f>IF(COUNTA(A71:B71,D71:G71,I71,K71,M71,Q71,AB71:AD71)=0,"",IF(OR(A71="",COUNTIFS($A$5:$A$204,A71)&lt;&gt;1),"Lote ausente ou duplicado",IF(OR(B71="",COUNTIFS(Produtos!$A$5:$A$204,B71)&lt;&gt;1),"SKU ausente ou desconhecido",IF(COUNTIFS(Produtos!$A$5:$A$204,B71,Produtos!$R$5:$R$204,1)&gt;0,"Revisar cadastro do produto",IF(OR(NOT(ISNUMBER(E71)),E71&lt;=0,NOT(ISNUMBER(G71)),G71&lt;=0,G71&lt;E71),"Recebimento ou validade inválida",IF(AND(F71&lt;&gt;"",OR(NOT(ISNUMBER(F71)),F71&lt;=0,F71&gt;E71)),"Fabricação inválida ou posterior ao recebimento",IF(OR(NOT(ISNUMBER(K71)),K71&lt;0,NOT(ISNUMBER(I71)),I71&lt;0),"Quantidade recebida ou custo inválido",IF(AND(M71&lt;&gt;"Liberado",M71&lt;&gt;"Quarentena",M71&lt;&gt;"Bloqueado",M71&lt;&gt;"Esgotado"),"Status de lote inválido",""))))))))</x:f>
      </x:c>
      <x:c r="T71" s="163" t="n">
        <x:f>IF(A71="",0,COUNTIFS(Movimentacoes!$D$5:$D$304,A71,Movimentacoes!$P$5:$P$304,1))</x:f>
        <x:v>0</x:v>
      </x:c>
      <x:c r="U71" s="163" t="n">
        <x:f>IF(COUNTA(A71:B71,D71:G71,I71,K71,M71,Q71,AB71:AD71)=0,0,IF(OR(S71&lt;&gt;"",T71&gt;0),1,IF(ISNUMBER(J71),IF(OR(J71&lt;0,AND(J71&gt;0,M71="Esgotado")),1,0),0)))</x:f>
        <x:v>0</x:v>
      </x:c>
      <x:c r="V71" s="163" t="str">
        <x:f>IF(A71="","",IF(OR(U71&gt;0,Listas!$B$13&lt;&gt;"OK"),"n.a.",IF(AND(J71&gt;0,M71="Liberado",G71&gt;=Listas!$B$6),J71,0)))</x:f>
      </x:c>
      <x:c r="W71" s="163" t="str">
        <x:f>IF(A71="","",IF(OR(U71&gt;0,Listas!$B$13&lt;&gt;"OK"),"n.a.",V71*K71))</x:f>
      </x:c>
      <x:c r="X71" s="167" t="n">
        <x:f>IF(COUNTA(A71:B71,D71:G71,I71,K71,M71,Q71,AB71:AD71)=0,0,IF(OR(Listas!$B$19="Todos",B71=Listas!$B$19,COUNTIFS(Produtos!$A$5:$A$204,B71)&lt;&gt;1),1,0))</x:f>
        <x:v>0</x:v>
      </x:c>
      <x:c r="Y71" s="167" t="str">
        <x:f>IF(X71=0,"",IF(Listas!$B$13&lt;&gt;"OK","Revisar parâmetros",IF(U71&gt;0,IF(S71&lt;&gt;"",S71,IF(T71&gt;0,"Revisar movimentos",IF(AND(ISNUMBER(J71),J71&lt;0),"Saldo negativo","Status esgotado com saldo"))),IF(AG71&lt;&gt;"",AG71&amp;". ","")&amp;IF(J71&lt;=0,"",IF(N71="VENCIDO","Validade vencida. ","")&amp;IF(M71="Quarentena","Em quarentena. ","")&amp;IF(M71="Bloqueado","Lote bloqueado. ","")&amp;IF(N71="CRÍTICO","Validade crítica. ","")&amp;IF(N71="VENCE NA JANELA","Vence na janela. ","")))))</x:f>
      </x:c>
      <x:c r="Z71" s="167" t="n">
        <x:f>IF(OR(X71=0,Y71=""),0,IF(OR(Listas!$B$13&lt;&gt;"OK",U71&gt;0,AH71&gt;0),1,IF(N71="VENCIDO",2,IF(OR(M71="Quarentena",M71="Bloqueado"),3,IF(N71="CRÍTICO",4,5)))))</x:f>
        <x:v>0</x:v>
      </x:c>
      <x:c r="AA71" s="167" t="n">
        <x:f>IF(Z71=0,0,COUNTIFS($Z$5:$Z$204,"&gt;0",$Z$5:$Z$204,"&lt;"&amp;Z71,$X$5:$X$204,1)+COUNTIFS($Z$5:Z71,Z71,$X$5:X71,1))</x:f>
        <x:v>0</x:v>
      </x:c>
      <x:c r="AB71" s="168"/>
      <x:c r="AC71" s="168"/>
      <x:c r="AD71" s="169"/>
      <x:c r="AE71" s="167" t="str">
        <x:f>IF(X71=0,"",IF(OR(U71&gt;0,Listas!$B$13&lt;&gt;"OK"),"Dados pendentes",IF(J71&lt;=0,"Sem saldo",IF(N71="VENCIDO","Vencidos",IF(OR(M71="Quarentena",M71="Bloqueado"),"Restritos vigentes",IF(OR(N71="CRÍTICO",N71="VENCE NA JANELA"),"Liberados na janela","Demais liberados"))))))</x:f>
      </x:c>
      <x:c r="AF71" s="167" t="str">
        <x:f>IF(A71&lt;&gt;"",A71,IF(U71&gt;0,"Sem ID (linha "&amp;ROW()&amp;")",""))</x:f>
      </x:c>
      <x:c r="AG71" s="167" t="str">
        <x:f>IF(AD71="","",IF(OR(NOT(ISNUMBER(AD71)),AD71&lt;=0),"Prazo da ação inválido",""))</x:f>
      </x:c>
      <x:c r="AH71" s="167" t="n">
        <x:f>IF(AG71="",0,1)</x:f>
        <x:v>0</x:v>
      </x:c>
    </x:row>
    <x:row r="72" ht="32" customHeight="1">
      <x:c r="A72" s="27"/>
      <x:c r="B72" s="27"/>
      <x:c r="C72" s="40" t="str">
        <x:f>IF($B72="","",IFERROR(INDEX(Produtos!$B$5:$B$204,MATCH($B72,Produtos!$A$5:$A$204,0)),""))</x:f>
      </x:c>
      <x:c r="D72" s="170"/>
      <x:c r="E72" s="179"/>
      <x:c r="F72" s="179"/>
      <x:c r="G72" s="179"/>
      <x:c r="H72" s="40" t="str">
        <x:f>IF(A72="","",IF(OR(S72&lt;&gt;"",Listas!$B$13&lt;&gt;"OK"),"n.a.",G72-Listas!$B$6))</x:f>
      </x:c>
      <x:c r="I72" s="40"/>
      <x:c r="J72" s="40" t="str">
        <x:f>IF(A72="","",IF(OR(S72&lt;&gt;"",T72&gt;0,Listas!$B$13&lt;&gt;"OK"),"n.a.",SUMIFS(Movimentacoes!$H$5:$H$304,Movimentacoes!$D$5:$D$304,A72,Movimentacoes!$B$5:$B$304,"&lt;="&amp;Listas!$B$6)))</x:f>
      </x:c>
      <x:c r="K72" s="180"/>
      <x:c r="L72" s="181" t="str">
        <x:f>IF(A72="","",IF(OR(U72&gt;0,Listas!$B$13&lt;&gt;"OK"),"n.a.",J72*K72))</x:f>
      </x:c>
      <x:c r="M72" s="27"/>
      <x:c r="N72" s="40" t="str">
        <x:f>IF(A72="","",IF(OR(U72&gt;0,Listas!$B$13&lt;&gt;"OK"),"REVISAR DADOS",IF(J72=0,"SEM SALDO",IF(G72&lt;Listas!$B$6,"VENCIDO",IF(H72&lt;=Listas!$B$7,"CRÍTICO",IF(H72&lt;=Listas!$B$8,"VENCE NA JANELA","OK"))))))</x:f>
      </x:c>
      <x:c r="O72" s="41" t="str">
        <x:f>IF(A72="","",IF(AND(ISNUMBER(V72),V72&gt;0),G72,""))</x:f>
      </x:c>
      <x:c r="P72" s="40" t="str">
        <x:f>IF(A72="","",IF(OR(U72&gt;0,Listas!$B$13&lt;&gt;"OK"),"REVISAR DADOS",IF(J72=0,"ARQUIVAR LOTE",IF(M72="Quarentena","DECIDIR LIBERAÇÃO",IF(M72="Bloqueado","SEGREGAR E INVESTIGAR",IF(M72="Esgotado","REVISAR STATUS COM SALDO",IF(N72="VENCIDO","SEGREGAR E AVALIAR DESTINAÇÃO",IF(OR(N72="CRÍTICO",N72="VENCE NA JANELA"),"PRIORIZAR FEFO","MANTER ROTAÇÃO"))))))))</x:f>
      </x:c>
      <x:c r="Q72" s="27"/>
      <x:c r="R72" s="181" t="str">
        <x:f>IF(A72="","",IF(OR(U72&gt;0,Listas!$B$13&lt;&gt;"OK"),"n.a.",IF(OR(N72="VENCIDO",N72="CRÍTICO",N72="VENCE NA JANELA",M72="Quarentena",M72="Bloqueado"),L72,0)))</x:f>
      </x:c>
      <x:c r="S72" s="163" t="str">
        <x:f>IF(COUNTA(A72:B72,D72:G72,I72,K72,M72,Q72,AB72:AD72)=0,"",IF(OR(A72="",COUNTIFS($A$5:$A$204,A72)&lt;&gt;1),"Lote ausente ou duplicado",IF(OR(B72="",COUNTIFS(Produtos!$A$5:$A$204,B72)&lt;&gt;1),"SKU ausente ou desconhecido",IF(COUNTIFS(Produtos!$A$5:$A$204,B72,Produtos!$R$5:$R$204,1)&gt;0,"Revisar cadastro do produto",IF(OR(NOT(ISNUMBER(E72)),E72&lt;=0,NOT(ISNUMBER(G72)),G72&lt;=0,G72&lt;E72),"Recebimento ou validade inválida",IF(AND(F72&lt;&gt;"",OR(NOT(ISNUMBER(F72)),F72&lt;=0,F72&gt;E72)),"Fabricação inválida ou posterior ao recebimento",IF(OR(NOT(ISNUMBER(K72)),K72&lt;0,NOT(ISNUMBER(I72)),I72&lt;0),"Quantidade recebida ou custo inválido",IF(AND(M72&lt;&gt;"Liberado",M72&lt;&gt;"Quarentena",M72&lt;&gt;"Bloqueado",M72&lt;&gt;"Esgotado"),"Status de lote inválido",""))))))))</x:f>
      </x:c>
      <x:c r="T72" s="163" t="n">
        <x:f>IF(A72="",0,COUNTIFS(Movimentacoes!$D$5:$D$304,A72,Movimentacoes!$P$5:$P$304,1))</x:f>
        <x:v>0</x:v>
      </x:c>
      <x:c r="U72" s="163" t="n">
        <x:f>IF(COUNTA(A72:B72,D72:G72,I72,K72,M72,Q72,AB72:AD72)=0,0,IF(OR(S72&lt;&gt;"",T72&gt;0),1,IF(ISNUMBER(J72),IF(OR(J72&lt;0,AND(J72&gt;0,M72="Esgotado")),1,0),0)))</x:f>
        <x:v>0</x:v>
      </x:c>
      <x:c r="V72" s="163" t="str">
        <x:f>IF(A72="","",IF(OR(U72&gt;0,Listas!$B$13&lt;&gt;"OK"),"n.a.",IF(AND(J72&gt;0,M72="Liberado",G72&gt;=Listas!$B$6),J72,0)))</x:f>
      </x:c>
      <x:c r="W72" s="163" t="str">
        <x:f>IF(A72="","",IF(OR(U72&gt;0,Listas!$B$13&lt;&gt;"OK"),"n.a.",V72*K72))</x:f>
      </x:c>
      <x:c r="X72" s="167" t="n">
        <x:f>IF(COUNTA(A72:B72,D72:G72,I72,K72,M72,Q72,AB72:AD72)=0,0,IF(OR(Listas!$B$19="Todos",B72=Listas!$B$19,COUNTIFS(Produtos!$A$5:$A$204,B72)&lt;&gt;1),1,0))</x:f>
        <x:v>0</x:v>
      </x:c>
      <x:c r="Y72" s="167" t="str">
        <x:f>IF(X72=0,"",IF(Listas!$B$13&lt;&gt;"OK","Revisar parâmetros",IF(U72&gt;0,IF(S72&lt;&gt;"",S72,IF(T72&gt;0,"Revisar movimentos",IF(AND(ISNUMBER(J72),J72&lt;0),"Saldo negativo","Status esgotado com saldo"))),IF(AG72&lt;&gt;"",AG72&amp;". ","")&amp;IF(J72&lt;=0,"",IF(N72="VENCIDO","Validade vencida. ","")&amp;IF(M72="Quarentena","Em quarentena. ","")&amp;IF(M72="Bloqueado","Lote bloqueado. ","")&amp;IF(N72="CRÍTICO","Validade crítica. ","")&amp;IF(N72="VENCE NA JANELA","Vence na janela. ","")))))</x:f>
      </x:c>
      <x:c r="Z72" s="167" t="n">
        <x:f>IF(OR(X72=0,Y72=""),0,IF(OR(Listas!$B$13&lt;&gt;"OK",U72&gt;0,AH72&gt;0),1,IF(N72="VENCIDO",2,IF(OR(M72="Quarentena",M72="Bloqueado"),3,IF(N72="CRÍTICO",4,5)))))</x:f>
        <x:v>0</x:v>
      </x:c>
      <x:c r="AA72" s="167" t="n">
        <x:f>IF(Z72=0,0,COUNTIFS($Z$5:$Z$204,"&gt;0",$Z$5:$Z$204,"&lt;"&amp;Z72,$X$5:$X$204,1)+COUNTIFS($Z$5:Z72,Z72,$X$5:X72,1))</x:f>
        <x:v>0</x:v>
      </x:c>
      <x:c r="AB72" s="168"/>
      <x:c r="AC72" s="168"/>
      <x:c r="AD72" s="169"/>
      <x:c r="AE72" s="167" t="str">
        <x:f>IF(X72=0,"",IF(OR(U72&gt;0,Listas!$B$13&lt;&gt;"OK"),"Dados pendentes",IF(J72&lt;=0,"Sem saldo",IF(N72="VENCIDO","Vencidos",IF(OR(M72="Quarentena",M72="Bloqueado"),"Restritos vigentes",IF(OR(N72="CRÍTICO",N72="VENCE NA JANELA"),"Liberados na janela","Demais liberados"))))))</x:f>
      </x:c>
      <x:c r="AF72" s="167" t="str">
        <x:f>IF(A72&lt;&gt;"",A72,IF(U72&gt;0,"Sem ID (linha "&amp;ROW()&amp;")",""))</x:f>
      </x:c>
      <x:c r="AG72" s="167" t="str">
        <x:f>IF(AD72="","",IF(OR(NOT(ISNUMBER(AD72)),AD72&lt;=0),"Prazo da ação inválido",""))</x:f>
      </x:c>
      <x:c r="AH72" s="167" t="n">
        <x:f>IF(AG72="",0,1)</x:f>
        <x:v>0</x:v>
      </x:c>
    </x:row>
    <x:row r="73" ht="32" customHeight="1">
      <x:c r="A73" s="27"/>
      <x:c r="B73" s="27"/>
      <x:c r="C73" s="40" t="str">
        <x:f>IF($B73="","",IFERROR(INDEX(Produtos!$B$5:$B$204,MATCH($B73,Produtos!$A$5:$A$204,0)),""))</x:f>
      </x:c>
      <x:c r="D73" s="170"/>
      <x:c r="E73" s="179"/>
      <x:c r="F73" s="179"/>
      <x:c r="G73" s="179"/>
      <x:c r="H73" s="40" t="str">
        <x:f>IF(A73="","",IF(OR(S73&lt;&gt;"",Listas!$B$13&lt;&gt;"OK"),"n.a.",G73-Listas!$B$6))</x:f>
      </x:c>
      <x:c r="I73" s="40"/>
      <x:c r="J73" s="40" t="str">
        <x:f>IF(A73="","",IF(OR(S73&lt;&gt;"",T73&gt;0,Listas!$B$13&lt;&gt;"OK"),"n.a.",SUMIFS(Movimentacoes!$H$5:$H$304,Movimentacoes!$D$5:$D$304,A73,Movimentacoes!$B$5:$B$304,"&lt;="&amp;Listas!$B$6)))</x:f>
      </x:c>
      <x:c r="K73" s="180"/>
      <x:c r="L73" s="181" t="str">
        <x:f>IF(A73="","",IF(OR(U73&gt;0,Listas!$B$13&lt;&gt;"OK"),"n.a.",J73*K73))</x:f>
      </x:c>
      <x:c r="M73" s="27"/>
      <x:c r="N73" s="40" t="str">
        <x:f>IF(A73="","",IF(OR(U73&gt;0,Listas!$B$13&lt;&gt;"OK"),"REVISAR DADOS",IF(J73=0,"SEM SALDO",IF(G73&lt;Listas!$B$6,"VENCIDO",IF(H73&lt;=Listas!$B$7,"CRÍTICO",IF(H73&lt;=Listas!$B$8,"VENCE NA JANELA","OK"))))))</x:f>
      </x:c>
      <x:c r="O73" s="41" t="str">
        <x:f>IF(A73="","",IF(AND(ISNUMBER(V73),V73&gt;0),G73,""))</x:f>
      </x:c>
      <x:c r="P73" s="40" t="str">
        <x:f>IF(A73="","",IF(OR(U73&gt;0,Listas!$B$13&lt;&gt;"OK"),"REVISAR DADOS",IF(J73=0,"ARQUIVAR LOTE",IF(M73="Quarentena","DECIDIR LIBERAÇÃO",IF(M73="Bloqueado","SEGREGAR E INVESTIGAR",IF(M73="Esgotado","REVISAR STATUS COM SALDO",IF(N73="VENCIDO","SEGREGAR E AVALIAR DESTINAÇÃO",IF(OR(N73="CRÍTICO",N73="VENCE NA JANELA"),"PRIORIZAR FEFO","MANTER ROTAÇÃO"))))))))</x:f>
      </x:c>
      <x:c r="Q73" s="27"/>
      <x:c r="R73" s="181" t="str">
        <x:f>IF(A73="","",IF(OR(U73&gt;0,Listas!$B$13&lt;&gt;"OK"),"n.a.",IF(OR(N73="VENCIDO",N73="CRÍTICO",N73="VENCE NA JANELA",M73="Quarentena",M73="Bloqueado"),L73,0)))</x:f>
      </x:c>
      <x:c r="S73" s="163" t="str">
        <x:f>IF(COUNTA(A73:B73,D73:G73,I73,K73,M73,Q73,AB73:AD73)=0,"",IF(OR(A73="",COUNTIFS($A$5:$A$204,A73)&lt;&gt;1),"Lote ausente ou duplicado",IF(OR(B73="",COUNTIFS(Produtos!$A$5:$A$204,B73)&lt;&gt;1),"SKU ausente ou desconhecido",IF(COUNTIFS(Produtos!$A$5:$A$204,B73,Produtos!$R$5:$R$204,1)&gt;0,"Revisar cadastro do produto",IF(OR(NOT(ISNUMBER(E73)),E73&lt;=0,NOT(ISNUMBER(G73)),G73&lt;=0,G73&lt;E73),"Recebimento ou validade inválida",IF(AND(F73&lt;&gt;"",OR(NOT(ISNUMBER(F73)),F73&lt;=0,F73&gt;E73)),"Fabricação inválida ou posterior ao recebimento",IF(OR(NOT(ISNUMBER(K73)),K73&lt;0,NOT(ISNUMBER(I73)),I73&lt;0),"Quantidade recebida ou custo inválido",IF(AND(M73&lt;&gt;"Liberado",M73&lt;&gt;"Quarentena",M73&lt;&gt;"Bloqueado",M73&lt;&gt;"Esgotado"),"Status de lote inválido",""))))))))</x:f>
      </x:c>
      <x:c r="T73" s="163" t="n">
        <x:f>IF(A73="",0,COUNTIFS(Movimentacoes!$D$5:$D$304,A73,Movimentacoes!$P$5:$P$304,1))</x:f>
        <x:v>0</x:v>
      </x:c>
      <x:c r="U73" s="163" t="n">
        <x:f>IF(COUNTA(A73:B73,D73:G73,I73,K73,M73,Q73,AB73:AD73)=0,0,IF(OR(S73&lt;&gt;"",T73&gt;0),1,IF(ISNUMBER(J73),IF(OR(J73&lt;0,AND(J73&gt;0,M73="Esgotado")),1,0),0)))</x:f>
        <x:v>0</x:v>
      </x:c>
      <x:c r="V73" s="163" t="str">
        <x:f>IF(A73="","",IF(OR(U73&gt;0,Listas!$B$13&lt;&gt;"OK"),"n.a.",IF(AND(J73&gt;0,M73="Liberado",G73&gt;=Listas!$B$6),J73,0)))</x:f>
      </x:c>
      <x:c r="W73" s="163" t="str">
        <x:f>IF(A73="","",IF(OR(U73&gt;0,Listas!$B$13&lt;&gt;"OK"),"n.a.",V73*K73))</x:f>
      </x:c>
      <x:c r="X73" s="167" t="n">
        <x:f>IF(COUNTA(A73:B73,D73:G73,I73,K73,M73,Q73,AB73:AD73)=0,0,IF(OR(Listas!$B$19="Todos",B73=Listas!$B$19,COUNTIFS(Produtos!$A$5:$A$204,B73)&lt;&gt;1),1,0))</x:f>
        <x:v>0</x:v>
      </x:c>
      <x:c r="Y73" s="167" t="str">
        <x:f>IF(X73=0,"",IF(Listas!$B$13&lt;&gt;"OK","Revisar parâmetros",IF(U73&gt;0,IF(S73&lt;&gt;"",S73,IF(T73&gt;0,"Revisar movimentos",IF(AND(ISNUMBER(J73),J73&lt;0),"Saldo negativo","Status esgotado com saldo"))),IF(AG73&lt;&gt;"",AG73&amp;". ","")&amp;IF(J73&lt;=0,"",IF(N73="VENCIDO","Validade vencida. ","")&amp;IF(M73="Quarentena","Em quarentena. ","")&amp;IF(M73="Bloqueado","Lote bloqueado. ","")&amp;IF(N73="CRÍTICO","Validade crítica. ","")&amp;IF(N73="VENCE NA JANELA","Vence na janela. ","")))))</x:f>
      </x:c>
      <x:c r="Z73" s="167" t="n">
        <x:f>IF(OR(X73=0,Y73=""),0,IF(OR(Listas!$B$13&lt;&gt;"OK",U73&gt;0,AH73&gt;0),1,IF(N73="VENCIDO",2,IF(OR(M73="Quarentena",M73="Bloqueado"),3,IF(N73="CRÍTICO",4,5)))))</x:f>
        <x:v>0</x:v>
      </x:c>
      <x:c r="AA73" s="167" t="n">
        <x:f>IF(Z73=0,0,COUNTIFS($Z$5:$Z$204,"&gt;0",$Z$5:$Z$204,"&lt;"&amp;Z73,$X$5:$X$204,1)+COUNTIFS($Z$5:Z73,Z73,$X$5:X73,1))</x:f>
        <x:v>0</x:v>
      </x:c>
      <x:c r="AB73" s="168"/>
      <x:c r="AC73" s="168"/>
      <x:c r="AD73" s="169"/>
      <x:c r="AE73" s="167" t="str">
        <x:f>IF(X73=0,"",IF(OR(U73&gt;0,Listas!$B$13&lt;&gt;"OK"),"Dados pendentes",IF(J73&lt;=0,"Sem saldo",IF(N73="VENCIDO","Vencidos",IF(OR(M73="Quarentena",M73="Bloqueado"),"Restritos vigentes",IF(OR(N73="CRÍTICO",N73="VENCE NA JANELA"),"Liberados na janela","Demais liberados"))))))</x:f>
      </x:c>
      <x:c r="AF73" s="167" t="str">
        <x:f>IF(A73&lt;&gt;"",A73,IF(U73&gt;0,"Sem ID (linha "&amp;ROW()&amp;")",""))</x:f>
      </x:c>
      <x:c r="AG73" s="167" t="str">
        <x:f>IF(AD73="","",IF(OR(NOT(ISNUMBER(AD73)),AD73&lt;=0),"Prazo da ação inválido",""))</x:f>
      </x:c>
      <x:c r="AH73" s="167" t="n">
        <x:f>IF(AG73="",0,1)</x:f>
        <x:v>0</x:v>
      </x:c>
    </x:row>
    <x:row r="74" ht="32" customHeight="1">
      <x:c r="A74" s="27"/>
      <x:c r="B74" s="27"/>
      <x:c r="C74" s="40" t="str">
        <x:f>IF($B74="","",IFERROR(INDEX(Produtos!$B$5:$B$204,MATCH($B74,Produtos!$A$5:$A$204,0)),""))</x:f>
      </x:c>
      <x:c r="D74" s="170"/>
      <x:c r="E74" s="179"/>
      <x:c r="F74" s="179"/>
      <x:c r="G74" s="179"/>
      <x:c r="H74" s="40" t="str">
        <x:f>IF(A74="","",IF(OR(S74&lt;&gt;"",Listas!$B$13&lt;&gt;"OK"),"n.a.",G74-Listas!$B$6))</x:f>
      </x:c>
      <x:c r="I74" s="40"/>
      <x:c r="J74" s="40" t="str">
        <x:f>IF(A74="","",IF(OR(S74&lt;&gt;"",T74&gt;0,Listas!$B$13&lt;&gt;"OK"),"n.a.",SUMIFS(Movimentacoes!$H$5:$H$304,Movimentacoes!$D$5:$D$304,A74,Movimentacoes!$B$5:$B$304,"&lt;="&amp;Listas!$B$6)))</x:f>
      </x:c>
      <x:c r="K74" s="180"/>
      <x:c r="L74" s="181" t="str">
        <x:f>IF(A74="","",IF(OR(U74&gt;0,Listas!$B$13&lt;&gt;"OK"),"n.a.",J74*K74))</x:f>
      </x:c>
      <x:c r="M74" s="27"/>
      <x:c r="N74" s="40" t="str">
        <x:f>IF(A74="","",IF(OR(U74&gt;0,Listas!$B$13&lt;&gt;"OK"),"REVISAR DADOS",IF(J74=0,"SEM SALDO",IF(G74&lt;Listas!$B$6,"VENCIDO",IF(H74&lt;=Listas!$B$7,"CRÍTICO",IF(H74&lt;=Listas!$B$8,"VENCE NA JANELA","OK"))))))</x:f>
      </x:c>
      <x:c r="O74" s="41" t="str">
        <x:f>IF(A74="","",IF(AND(ISNUMBER(V74),V74&gt;0),G74,""))</x:f>
      </x:c>
      <x:c r="P74" s="40" t="str">
        <x:f>IF(A74="","",IF(OR(U74&gt;0,Listas!$B$13&lt;&gt;"OK"),"REVISAR DADOS",IF(J74=0,"ARQUIVAR LOTE",IF(M74="Quarentena","DECIDIR LIBERAÇÃO",IF(M74="Bloqueado","SEGREGAR E INVESTIGAR",IF(M74="Esgotado","REVISAR STATUS COM SALDO",IF(N74="VENCIDO","SEGREGAR E AVALIAR DESTINAÇÃO",IF(OR(N74="CRÍTICO",N74="VENCE NA JANELA"),"PRIORIZAR FEFO","MANTER ROTAÇÃO"))))))))</x:f>
      </x:c>
      <x:c r="Q74" s="27"/>
      <x:c r="R74" s="181" t="str">
        <x:f>IF(A74="","",IF(OR(U74&gt;0,Listas!$B$13&lt;&gt;"OK"),"n.a.",IF(OR(N74="VENCIDO",N74="CRÍTICO",N74="VENCE NA JANELA",M74="Quarentena",M74="Bloqueado"),L74,0)))</x:f>
      </x:c>
      <x:c r="S74" s="163" t="str">
        <x:f>IF(COUNTA(A74:B74,D74:G74,I74,K74,M74,Q74,AB74:AD74)=0,"",IF(OR(A74="",COUNTIFS($A$5:$A$204,A74)&lt;&gt;1),"Lote ausente ou duplicado",IF(OR(B74="",COUNTIFS(Produtos!$A$5:$A$204,B74)&lt;&gt;1),"SKU ausente ou desconhecido",IF(COUNTIFS(Produtos!$A$5:$A$204,B74,Produtos!$R$5:$R$204,1)&gt;0,"Revisar cadastro do produto",IF(OR(NOT(ISNUMBER(E74)),E74&lt;=0,NOT(ISNUMBER(G74)),G74&lt;=0,G74&lt;E74),"Recebimento ou validade inválida",IF(AND(F74&lt;&gt;"",OR(NOT(ISNUMBER(F74)),F74&lt;=0,F74&gt;E74)),"Fabricação inválida ou posterior ao recebimento",IF(OR(NOT(ISNUMBER(K74)),K74&lt;0,NOT(ISNUMBER(I74)),I74&lt;0),"Quantidade recebida ou custo inválido",IF(AND(M74&lt;&gt;"Liberado",M74&lt;&gt;"Quarentena",M74&lt;&gt;"Bloqueado",M74&lt;&gt;"Esgotado"),"Status de lote inválido",""))))))))</x:f>
      </x:c>
      <x:c r="T74" s="163" t="n">
        <x:f>IF(A74="",0,COUNTIFS(Movimentacoes!$D$5:$D$304,A74,Movimentacoes!$P$5:$P$304,1))</x:f>
        <x:v>0</x:v>
      </x:c>
      <x:c r="U74" s="163" t="n">
        <x:f>IF(COUNTA(A74:B74,D74:G74,I74,K74,M74,Q74,AB74:AD74)=0,0,IF(OR(S74&lt;&gt;"",T74&gt;0),1,IF(ISNUMBER(J74),IF(OR(J74&lt;0,AND(J74&gt;0,M74="Esgotado")),1,0),0)))</x:f>
        <x:v>0</x:v>
      </x:c>
      <x:c r="V74" s="163" t="str">
        <x:f>IF(A74="","",IF(OR(U74&gt;0,Listas!$B$13&lt;&gt;"OK"),"n.a.",IF(AND(J74&gt;0,M74="Liberado",G74&gt;=Listas!$B$6),J74,0)))</x:f>
      </x:c>
      <x:c r="W74" s="163" t="str">
        <x:f>IF(A74="","",IF(OR(U74&gt;0,Listas!$B$13&lt;&gt;"OK"),"n.a.",V74*K74))</x:f>
      </x:c>
      <x:c r="X74" s="167" t="n">
        <x:f>IF(COUNTA(A74:B74,D74:G74,I74,K74,M74,Q74,AB74:AD74)=0,0,IF(OR(Listas!$B$19="Todos",B74=Listas!$B$19,COUNTIFS(Produtos!$A$5:$A$204,B74)&lt;&gt;1),1,0))</x:f>
        <x:v>0</x:v>
      </x:c>
      <x:c r="Y74" s="167" t="str">
        <x:f>IF(X74=0,"",IF(Listas!$B$13&lt;&gt;"OK","Revisar parâmetros",IF(U74&gt;0,IF(S74&lt;&gt;"",S74,IF(T74&gt;0,"Revisar movimentos",IF(AND(ISNUMBER(J74),J74&lt;0),"Saldo negativo","Status esgotado com saldo"))),IF(AG74&lt;&gt;"",AG74&amp;". ","")&amp;IF(J74&lt;=0,"",IF(N74="VENCIDO","Validade vencida. ","")&amp;IF(M74="Quarentena","Em quarentena. ","")&amp;IF(M74="Bloqueado","Lote bloqueado. ","")&amp;IF(N74="CRÍTICO","Validade crítica. ","")&amp;IF(N74="VENCE NA JANELA","Vence na janela. ","")))))</x:f>
      </x:c>
      <x:c r="Z74" s="167" t="n">
        <x:f>IF(OR(X74=0,Y74=""),0,IF(OR(Listas!$B$13&lt;&gt;"OK",U74&gt;0,AH74&gt;0),1,IF(N74="VENCIDO",2,IF(OR(M74="Quarentena",M74="Bloqueado"),3,IF(N74="CRÍTICO",4,5)))))</x:f>
        <x:v>0</x:v>
      </x:c>
      <x:c r="AA74" s="167" t="n">
        <x:f>IF(Z74=0,0,COUNTIFS($Z$5:$Z$204,"&gt;0",$Z$5:$Z$204,"&lt;"&amp;Z74,$X$5:$X$204,1)+COUNTIFS($Z$5:Z74,Z74,$X$5:X74,1))</x:f>
        <x:v>0</x:v>
      </x:c>
      <x:c r="AB74" s="168"/>
      <x:c r="AC74" s="168"/>
      <x:c r="AD74" s="169"/>
      <x:c r="AE74" s="167" t="str">
        <x:f>IF(X74=0,"",IF(OR(U74&gt;0,Listas!$B$13&lt;&gt;"OK"),"Dados pendentes",IF(J74&lt;=0,"Sem saldo",IF(N74="VENCIDO","Vencidos",IF(OR(M74="Quarentena",M74="Bloqueado"),"Restritos vigentes",IF(OR(N74="CRÍTICO",N74="VENCE NA JANELA"),"Liberados na janela","Demais liberados"))))))</x:f>
      </x:c>
      <x:c r="AF74" s="167" t="str">
        <x:f>IF(A74&lt;&gt;"",A74,IF(U74&gt;0,"Sem ID (linha "&amp;ROW()&amp;")",""))</x:f>
      </x:c>
      <x:c r="AG74" s="167" t="str">
        <x:f>IF(AD74="","",IF(OR(NOT(ISNUMBER(AD74)),AD74&lt;=0),"Prazo da ação inválido",""))</x:f>
      </x:c>
      <x:c r="AH74" s="167" t="n">
        <x:f>IF(AG74="",0,1)</x:f>
        <x:v>0</x:v>
      </x:c>
    </x:row>
    <x:row r="75" ht="32" customHeight="1">
      <x:c r="A75" s="27"/>
      <x:c r="B75" s="27"/>
      <x:c r="C75" s="40" t="str">
        <x:f>IF($B75="","",IFERROR(INDEX(Produtos!$B$5:$B$204,MATCH($B75,Produtos!$A$5:$A$204,0)),""))</x:f>
      </x:c>
      <x:c r="D75" s="170"/>
      <x:c r="E75" s="179"/>
      <x:c r="F75" s="179"/>
      <x:c r="G75" s="179"/>
      <x:c r="H75" s="40" t="str">
        <x:f>IF(A75="","",IF(OR(S75&lt;&gt;"",Listas!$B$13&lt;&gt;"OK"),"n.a.",G75-Listas!$B$6))</x:f>
      </x:c>
      <x:c r="I75" s="40"/>
      <x:c r="J75" s="40" t="str">
        <x:f>IF(A75="","",IF(OR(S75&lt;&gt;"",T75&gt;0,Listas!$B$13&lt;&gt;"OK"),"n.a.",SUMIFS(Movimentacoes!$H$5:$H$304,Movimentacoes!$D$5:$D$304,A75,Movimentacoes!$B$5:$B$304,"&lt;="&amp;Listas!$B$6)))</x:f>
      </x:c>
      <x:c r="K75" s="180"/>
      <x:c r="L75" s="181" t="str">
        <x:f>IF(A75="","",IF(OR(U75&gt;0,Listas!$B$13&lt;&gt;"OK"),"n.a.",J75*K75))</x:f>
      </x:c>
      <x:c r="M75" s="27"/>
      <x:c r="N75" s="40" t="str">
        <x:f>IF(A75="","",IF(OR(U75&gt;0,Listas!$B$13&lt;&gt;"OK"),"REVISAR DADOS",IF(J75=0,"SEM SALDO",IF(G75&lt;Listas!$B$6,"VENCIDO",IF(H75&lt;=Listas!$B$7,"CRÍTICO",IF(H75&lt;=Listas!$B$8,"VENCE NA JANELA","OK"))))))</x:f>
      </x:c>
      <x:c r="O75" s="41" t="str">
        <x:f>IF(A75="","",IF(AND(ISNUMBER(V75),V75&gt;0),G75,""))</x:f>
      </x:c>
      <x:c r="P75" s="40" t="str">
        <x:f>IF(A75="","",IF(OR(U75&gt;0,Listas!$B$13&lt;&gt;"OK"),"REVISAR DADOS",IF(J75=0,"ARQUIVAR LOTE",IF(M75="Quarentena","DECIDIR LIBERAÇÃO",IF(M75="Bloqueado","SEGREGAR E INVESTIGAR",IF(M75="Esgotado","REVISAR STATUS COM SALDO",IF(N75="VENCIDO","SEGREGAR E AVALIAR DESTINAÇÃO",IF(OR(N75="CRÍTICO",N75="VENCE NA JANELA"),"PRIORIZAR FEFO","MANTER ROTAÇÃO"))))))))</x:f>
      </x:c>
      <x:c r="Q75" s="27"/>
      <x:c r="R75" s="181" t="str">
        <x:f>IF(A75="","",IF(OR(U75&gt;0,Listas!$B$13&lt;&gt;"OK"),"n.a.",IF(OR(N75="VENCIDO",N75="CRÍTICO",N75="VENCE NA JANELA",M75="Quarentena",M75="Bloqueado"),L75,0)))</x:f>
      </x:c>
      <x:c r="S75" s="163" t="str">
        <x:f>IF(COUNTA(A75:B75,D75:G75,I75,K75,M75,Q75,AB75:AD75)=0,"",IF(OR(A75="",COUNTIFS($A$5:$A$204,A75)&lt;&gt;1),"Lote ausente ou duplicado",IF(OR(B75="",COUNTIFS(Produtos!$A$5:$A$204,B75)&lt;&gt;1),"SKU ausente ou desconhecido",IF(COUNTIFS(Produtos!$A$5:$A$204,B75,Produtos!$R$5:$R$204,1)&gt;0,"Revisar cadastro do produto",IF(OR(NOT(ISNUMBER(E75)),E75&lt;=0,NOT(ISNUMBER(G75)),G75&lt;=0,G75&lt;E75),"Recebimento ou validade inválida",IF(AND(F75&lt;&gt;"",OR(NOT(ISNUMBER(F75)),F75&lt;=0,F75&gt;E75)),"Fabricação inválida ou posterior ao recebimento",IF(OR(NOT(ISNUMBER(K75)),K75&lt;0,NOT(ISNUMBER(I75)),I75&lt;0),"Quantidade recebida ou custo inválido",IF(AND(M75&lt;&gt;"Liberado",M75&lt;&gt;"Quarentena",M75&lt;&gt;"Bloqueado",M75&lt;&gt;"Esgotado"),"Status de lote inválido",""))))))))</x:f>
      </x:c>
      <x:c r="T75" s="163" t="n">
        <x:f>IF(A75="",0,COUNTIFS(Movimentacoes!$D$5:$D$304,A75,Movimentacoes!$P$5:$P$304,1))</x:f>
        <x:v>0</x:v>
      </x:c>
      <x:c r="U75" s="163" t="n">
        <x:f>IF(COUNTA(A75:B75,D75:G75,I75,K75,M75,Q75,AB75:AD75)=0,0,IF(OR(S75&lt;&gt;"",T75&gt;0),1,IF(ISNUMBER(J75),IF(OR(J75&lt;0,AND(J75&gt;0,M75="Esgotado")),1,0),0)))</x:f>
        <x:v>0</x:v>
      </x:c>
      <x:c r="V75" s="163" t="str">
        <x:f>IF(A75="","",IF(OR(U75&gt;0,Listas!$B$13&lt;&gt;"OK"),"n.a.",IF(AND(J75&gt;0,M75="Liberado",G75&gt;=Listas!$B$6),J75,0)))</x:f>
      </x:c>
      <x:c r="W75" s="163" t="str">
        <x:f>IF(A75="","",IF(OR(U75&gt;0,Listas!$B$13&lt;&gt;"OK"),"n.a.",V75*K75))</x:f>
      </x:c>
      <x:c r="X75" s="167" t="n">
        <x:f>IF(COUNTA(A75:B75,D75:G75,I75,K75,M75,Q75,AB75:AD75)=0,0,IF(OR(Listas!$B$19="Todos",B75=Listas!$B$19,COUNTIFS(Produtos!$A$5:$A$204,B75)&lt;&gt;1),1,0))</x:f>
        <x:v>0</x:v>
      </x:c>
      <x:c r="Y75" s="167" t="str">
        <x:f>IF(X75=0,"",IF(Listas!$B$13&lt;&gt;"OK","Revisar parâmetros",IF(U75&gt;0,IF(S75&lt;&gt;"",S75,IF(T75&gt;0,"Revisar movimentos",IF(AND(ISNUMBER(J75),J75&lt;0),"Saldo negativo","Status esgotado com saldo"))),IF(AG75&lt;&gt;"",AG75&amp;". ","")&amp;IF(J75&lt;=0,"",IF(N75="VENCIDO","Validade vencida. ","")&amp;IF(M75="Quarentena","Em quarentena. ","")&amp;IF(M75="Bloqueado","Lote bloqueado. ","")&amp;IF(N75="CRÍTICO","Validade crítica. ","")&amp;IF(N75="VENCE NA JANELA","Vence na janela. ","")))))</x:f>
      </x:c>
      <x:c r="Z75" s="167" t="n">
        <x:f>IF(OR(X75=0,Y75=""),0,IF(OR(Listas!$B$13&lt;&gt;"OK",U75&gt;0,AH75&gt;0),1,IF(N75="VENCIDO",2,IF(OR(M75="Quarentena",M75="Bloqueado"),3,IF(N75="CRÍTICO",4,5)))))</x:f>
        <x:v>0</x:v>
      </x:c>
      <x:c r="AA75" s="167" t="n">
        <x:f>IF(Z75=0,0,COUNTIFS($Z$5:$Z$204,"&gt;0",$Z$5:$Z$204,"&lt;"&amp;Z75,$X$5:$X$204,1)+COUNTIFS($Z$5:Z75,Z75,$X$5:X75,1))</x:f>
        <x:v>0</x:v>
      </x:c>
      <x:c r="AB75" s="168"/>
      <x:c r="AC75" s="168"/>
      <x:c r="AD75" s="169"/>
      <x:c r="AE75" s="167" t="str">
        <x:f>IF(X75=0,"",IF(OR(U75&gt;0,Listas!$B$13&lt;&gt;"OK"),"Dados pendentes",IF(J75&lt;=0,"Sem saldo",IF(N75="VENCIDO","Vencidos",IF(OR(M75="Quarentena",M75="Bloqueado"),"Restritos vigentes",IF(OR(N75="CRÍTICO",N75="VENCE NA JANELA"),"Liberados na janela","Demais liberados"))))))</x:f>
      </x:c>
      <x:c r="AF75" s="167" t="str">
        <x:f>IF(A75&lt;&gt;"",A75,IF(U75&gt;0,"Sem ID (linha "&amp;ROW()&amp;")",""))</x:f>
      </x:c>
      <x:c r="AG75" s="167" t="str">
        <x:f>IF(AD75="","",IF(OR(NOT(ISNUMBER(AD75)),AD75&lt;=0),"Prazo da ação inválido",""))</x:f>
      </x:c>
      <x:c r="AH75" s="167" t="n">
        <x:f>IF(AG75="",0,1)</x:f>
        <x:v>0</x:v>
      </x:c>
    </x:row>
    <x:row r="76" ht="32" customHeight="1">
      <x:c r="A76" s="27"/>
      <x:c r="B76" s="27"/>
      <x:c r="C76" s="40" t="str">
        <x:f>IF($B76="","",IFERROR(INDEX(Produtos!$B$5:$B$204,MATCH($B76,Produtos!$A$5:$A$204,0)),""))</x:f>
      </x:c>
      <x:c r="D76" s="170"/>
      <x:c r="E76" s="179"/>
      <x:c r="F76" s="179"/>
      <x:c r="G76" s="179"/>
      <x:c r="H76" s="40" t="str">
        <x:f>IF(A76="","",IF(OR(S76&lt;&gt;"",Listas!$B$13&lt;&gt;"OK"),"n.a.",G76-Listas!$B$6))</x:f>
      </x:c>
      <x:c r="I76" s="40"/>
      <x:c r="J76" s="40" t="str">
        <x:f>IF(A76="","",IF(OR(S76&lt;&gt;"",T76&gt;0,Listas!$B$13&lt;&gt;"OK"),"n.a.",SUMIFS(Movimentacoes!$H$5:$H$304,Movimentacoes!$D$5:$D$304,A76,Movimentacoes!$B$5:$B$304,"&lt;="&amp;Listas!$B$6)))</x:f>
      </x:c>
      <x:c r="K76" s="180"/>
      <x:c r="L76" s="181" t="str">
        <x:f>IF(A76="","",IF(OR(U76&gt;0,Listas!$B$13&lt;&gt;"OK"),"n.a.",J76*K76))</x:f>
      </x:c>
      <x:c r="M76" s="27"/>
      <x:c r="N76" s="40" t="str">
        <x:f>IF(A76="","",IF(OR(U76&gt;0,Listas!$B$13&lt;&gt;"OK"),"REVISAR DADOS",IF(J76=0,"SEM SALDO",IF(G76&lt;Listas!$B$6,"VENCIDO",IF(H76&lt;=Listas!$B$7,"CRÍTICO",IF(H76&lt;=Listas!$B$8,"VENCE NA JANELA","OK"))))))</x:f>
      </x:c>
      <x:c r="O76" s="41" t="str">
        <x:f>IF(A76="","",IF(AND(ISNUMBER(V76),V76&gt;0),G76,""))</x:f>
      </x:c>
      <x:c r="P76" s="40" t="str">
        <x:f>IF(A76="","",IF(OR(U76&gt;0,Listas!$B$13&lt;&gt;"OK"),"REVISAR DADOS",IF(J76=0,"ARQUIVAR LOTE",IF(M76="Quarentena","DECIDIR LIBERAÇÃO",IF(M76="Bloqueado","SEGREGAR E INVESTIGAR",IF(M76="Esgotado","REVISAR STATUS COM SALDO",IF(N76="VENCIDO","SEGREGAR E AVALIAR DESTINAÇÃO",IF(OR(N76="CRÍTICO",N76="VENCE NA JANELA"),"PRIORIZAR FEFO","MANTER ROTAÇÃO"))))))))</x:f>
      </x:c>
      <x:c r="Q76" s="27"/>
      <x:c r="R76" s="181" t="str">
        <x:f>IF(A76="","",IF(OR(U76&gt;0,Listas!$B$13&lt;&gt;"OK"),"n.a.",IF(OR(N76="VENCIDO",N76="CRÍTICO",N76="VENCE NA JANELA",M76="Quarentena",M76="Bloqueado"),L76,0)))</x:f>
      </x:c>
      <x:c r="S76" s="163" t="str">
        <x:f>IF(COUNTA(A76:B76,D76:G76,I76,K76,M76,Q76,AB76:AD76)=0,"",IF(OR(A76="",COUNTIFS($A$5:$A$204,A76)&lt;&gt;1),"Lote ausente ou duplicado",IF(OR(B76="",COUNTIFS(Produtos!$A$5:$A$204,B76)&lt;&gt;1),"SKU ausente ou desconhecido",IF(COUNTIFS(Produtos!$A$5:$A$204,B76,Produtos!$R$5:$R$204,1)&gt;0,"Revisar cadastro do produto",IF(OR(NOT(ISNUMBER(E76)),E76&lt;=0,NOT(ISNUMBER(G76)),G76&lt;=0,G76&lt;E76),"Recebimento ou validade inválida",IF(AND(F76&lt;&gt;"",OR(NOT(ISNUMBER(F76)),F76&lt;=0,F76&gt;E76)),"Fabricação inválida ou posterior ao recebimento",IF(OR(NOT(ISNUMBER(K76)),K76&lt;0,NOT(ISNUMBER(I76)),I76&lt;0),"Quantidade recebida ou custo inválido",IF(AND(M76&lt;&gt;"Liberado",M76&lt;&gt;"Quarentena",M76&lt;&gt;"Bloqueado",M76&lt;&gt;"Esgotado"),"Status de lote inválido",""))))))))</x:f>
      </x:c>
      <x:c r="T76" s="163" t="n">
        <x:f>IF(A76="",0,COUNTIFS(Movimentacoes!$D$5:$D$304,A76,Movimentacoes!$P$5:$P$304,1))</x:f>
        <x:v>0</x:v>
      </x:c>
      <x:c r="U76" s="163" t="n">
        <x:f>IF(COUNTA(A76:B76,D76:G76,I76,K76,M76,Q76,AB76:AD76)=0,0,IF(OR(S76&lt;&gt;"",T76&gt;0),1,IF(ISNUMBER(J76),IF(OR(J76&lt;0,AND(J76&gt;0,M76="Esgotado")),1,0),0)))</x:f>
        <x:v>0</x:v>
      </x:c>
      <x:c r="V76" s="163" t="str">
        <x:f>IF(A76="","",IF(OR(U76&gt;0,Listas!$B$13&lt;&gt;"OK"),"n.a.",IF(AND(J76&gt;0,M76="Liberado",G76&gt;=Listas!$B$6),J76,0)))</x:f>
      </x:c>
      <x:c r="W76" s="163" t="str">
        <x:f>IF(A76="","",IF(OR(U76&gt;0,Listas!$B$13&lt;&gt;"OK"),"n.a.",V76*K76))</x:f>
      </x:c>
      <x:c r="X76" s="167" t="n">
        <x:f>IF(COUNTA(A76:B76,D76:G76,I76,K76,M76,Q76,AB76:AD76)=0,0,IF(OR(Listas!$B$19="Todos",B76=Listas!$B$19,COUNTIFS(Produtos!$A$5:$A$204,B76)&lt;&gt;1),1,0))</x:f>
        <x:v>0</x:v>
      </x:c>
      <x:c r="Y76" s="167" t="str">
        <x:f>IF(X76=0,"",IF(Listas!$B$13&lt;&gt;"OK","Revisar parâmetros",IF(U76&gt;0,IF(S76&lt;&gt;"",S76,IF(T76&gt;0,"Revisar movimentos",IF(AND(ISNUMBER(J76),J76&lt;0),"Saldo negativo","Status esgotado com saldo"))),IF(AG76&lt;&gt;"",AG76&amp;". ","")&amp;IF(J76&lt;=0,"",IF(N76="VENCIDO","Validade vencida. ","")&amp;IF(M76="Quarentena","Em quarentena. ","")&amp;IF(M76="Bloqueado","Lote bloqueado. ","")&amp;IF(N76="CRÍTICO","Validade crítica. ","")&amp;IF(N76="VENCE NA JANELA","Vence na janela. ","")))))</x:f>
      </x:c>
      <x:c r="Z76" s="167" t="n">
        <x:f>IF(OR(X76=0,Y76=""),0,IF(OR(Listas!$B$13&lt;&gt;"OK",U76&gt;0,AH76&gt;0),1,IF(N76="VENCIDO",2,IF(OR(M76="Quarentena",M76="Bloqueado"),3,IF(N76="CRÍTICO",4,5)))))</x:f>
        <x:v>0</x:v>
      </x:c>
      <x:c r="AA76" s="167" t="n">
        <x:f>IF(Z76=0,0,COUNTIFS($Z$5:$Z$204,"&gt;0",$Z$5:$Z$204,"&lt;"&amp;Z76,$X$5:$X$204,1)+COUNTIFS($Z$5:Z76,Z76,$X$5:X76,1))</x:f>
        <x:v>0</x:v>
      </x:c>
      <x:c r="AB76" s="168"/>
      <x:c r="AC76" s="168"/>
      <x:c r="AD76" s="169"/>
      <x:c r="AE76" s="167" t="str">
        <x:f>IF(X76=0,"",IF(OR(U76&gt;0,Listas!$B$13&lt;&gt;"OK"),"Dados pendentes",IF(J76&lt;=0,"Sem saldo",IF(N76="VENCIDO","Vencidos",IF(OR(M76="Quarentena",M76="Bloqueado"),"Restritos vigentes",IF(OR(N76="CRÍTICO",N76="VENCE NA JANELA"),"Liberados na janela","Demais liberados"))))))</x:f>
      </x:c>
      <x:c r="AF76" s="167" t="str">
        <x:f>IF(A76&lt;&gt;"",A76,IF(U76&gt;0,"Sem ID (linha "&amp;ROW()&amp;")",""))</x:f>
      </x:c>
      <x:c r="AG76" s="167" t="str">
        <x:f>IF(AD76="","",IF(OR(NOT(ISNUMBER(AD76)),AD76&lt;=0),"Prazo da ação inválido",""))</x:f>
      </x:c>
      <x:c r="AH76" s="167" t="n">
        <x:f>IF(AG76="",0,1)</x:f>
        <x:v>0</x:v>
      </x:c>
    </x:row>
    <x:row r="77" ht="32" customHeight="1">
      <x:c r="A77" s="27"/>
      <x:c r="B77" s="27"/>
      <x:c r="C77" s="40" t="str">
        <x:f>IF($B77="","",IFERROR(INDEX(Produtos!$B$5:$B$204,MATCH($B77,Produtos!$A$5:$A$204,0)),""))</x:f>
      </x:c>
      <x:c r="D77" s="170"/>
      <x:c r="E77" s="179"/>
      <x:c r="F77" s="179"/>
      <x:c r="G77" s="179"/>
      <x:c r="H77" s="40" t="str">
        <x:f>IF(A77="","",IF(OR(S77&lt;&gt;"",Listas!$B$13&lt;&gt;"OK"),"n.a.",G77-Listas!$B$6))</x:f>
      </x:c>
      <x:c r="I77" s="40"/>
      <x:c r="J77" s="40" t="str">
        <x:f>IF(A77="","",IF(OR(S77&lt;&gt;"",T77&gt;0,Listas!$B$13&lt;&gt;"OK"),"n.a.",SUMIFS(Movimentacoes!$H$5:$H$304,Movimentacoes!$D$5:$D$304,A77,Movimentacoes!$B$5:$B$304,"&lt;="&amp;Listas!$B$6)))</x:f>
      </x:c>
      <x:c r="K77" s="180"/>
      <x:c r="L77" s="181" t="str">
        <x:f>IF(A77="","",IF(OR(U77&gt;0,Listas!$B$13&lt;&gt;"OK"),"n.a.",J77*K77))</x:f>
      </x:c>
      <x:c r="M77" s="27"/>
      <x:c r="N77" s="40" t="str">
        <x:f>IF(A77="","",IF(OR(U77&gt;0,Listas!$B$13&lt;&gt;"OK"),"REVISAR DADOS",IF(J77=0,"SEM SALDO",IF(G77&lt;Listas!$B$6,"VENCIDO",IF(H77&lt;=Listas!$B$7,"CRÍTICO",IF(H77&lt;=Listas!$B$8,"VENCE NA JANELA","OK"))))))</x:f>
      </x:c>
      <x:c r="O77" s="41" t="str">
        <x:f>IF(A77="","",IF(AND(ISNUMBER(V77),V77&gt;0),G77,""))</x:f>
      </x:c>
      <x:c r="P77" s="40" t="str">
        <x:f>IF(A77="","",IF(OR(U77&gt;0,Listas!$B$13&lt;&gt;"OK"),"REVISAR DADOS",IF(J77=0,"ARQUIVAR LOTE",IF(M77="Quarentena","DECIDIR LIBERAÇÃO",IF(M77="Bloqueado","SEGREGAR E INVESTIGAR",IF(M77="Esgotado","REVISAR STATUS COM SALDO",IF(N77="VENCIDO","SEGREGAR E AVALIAR DESTINAÇÃO",IF(OR(N77="CRÍTICO",N77="VENCE NA JANELA"),"PRIORIZAR FEFO","MANTER ROTAÇÃO"))))))))</x:f>
      </x:c>
      <x:c r="Q77" s="27"/>
      <x:c r="R77" s="181" t="str">
        <x:f>IF(A77="","",IF(OR(U77&gt;0,Listas!$B$13&lt;&gt;"OK"),"n.a.",IF(OR(N77="VENCIDO",N77="CRÍTICO",N77="VENCE NA JANELA",M77="Quarentena",M77="Bloqueado"),L77,0)))</x:f>
      </x:c>
      <x:c r="S77" s="163" t="str">
        <x:f>IF(COUNTA(A77:B77,D77:G77,I77,K77,M77,Q77,AB77:AD77)=0,"",IF(OR(A77="",COUNTIFS($A$5:$A$204,A77)&lt;&gt;1),"Lote ausente ou duplicado",IF(OR(B77="",COUNTIFS(Produtos!$A$5:$A$204,B77)&lt;&gt;1),"SKU ausente ou desconhecido",IF(COUNTIFS(Produtos!$A$5:$A$204,B77,Produtos!$R$5:$R$204,1)&gt;0,"Revisar cadastro do produto",IF(OR(NOT(ISNUMBER(E77)),E77&lt;=0,NOT(ISNUMBER(G77)),G77&lt;=0,G77&lt;E77),"Recebimento ou validade inválida",IF(AND(F77&lt;&gt;"",OR(NOT(ISNUMBER(F77)),F77&lt;=0,F77&gt;E77)),"Fabricação inválida ou posterior ao recebimento",IF(OR(NOT(ISNUMBER(K77)),K77&lt;0,NOT(ISNUMBER(I77)),I77&lt;0),"Quantidade recebida ou custo inválido",IF(AND(M77&lt;&gt;"Liberado",M77&lt;&gt;"Quarentena",M77&lt;&gt;"Bloqueado",M77&lt;&gt;"Esgotado"),"Status de lote inválido",""))))))))</x:f>
      </x:c>
      <x:c r="T77" s="163" t="n">
        <x:f>IF(A77="",0,COUNTIFS(Movimentacoes!$D$5:$D$304,A77,Movimentacoes!$P$5:$P$304,1))</x:f>
        <x:v>0</x:v>
      </x:c>
      <x:c r="U77" s="163" t="n">
        <x:f>IF(COUNTA(A77:B77,D77:G77,I77,K77,M77,Q77,AB77:AD77)=0,0,IF(OR(S77&lt;&gt;"",T77&gt;0),1,IF(ISNUMBER(J77),IF(OR(J77&lt;0,AND(J77&gt;0,M77="Esgotado")),1,0),0)))</x:f>
        <x:v>0</x:v>
      </x:c>
      <x:c r="V77" s="163" t="str">
        <x:f>IF(A77="","",IF(OR(U77&gt;0,Listas!$B$13&lt;&gt;"OK"),"n.a.",IF(AND(J77&gt;0,M77="Liberado",G77&gt;=Listas!$B$6),J77,0)))</x:f>
      </x:c>
      <x:c r="W77" s="163" t="str">
        <x:f>IF(A77="","",IF(OR(U77&gt;0,Listas!$B$13&lt;&gt;"OK"),"n.a.",V77*K77))</x:f>
      </x:c>
      <x:c r="X77" s="167" t="n">
        <x:f>IF(COUNTA(A77:B77,D77:G77,I77,K77,M77,Q77,AB77:AD77)=0,0,IF(OR(Listas!$B$19="Todos",B77=Listas!$B$19,COUNTIFS(Produtos!$A$5:$A$204,B77)&lt;&gt;1),1,0))</x:f>
        <x:v>0</x:v>
      </x:c>
      <x:c r="Y77" s="167" t="str">
        <x:f>IF(X77=0,"",IF(Listas!$B$13&lt;&gt;"OK","Revisar parâmetros",IF(U77&gt;0,IF(S77&lt;&gt;"",S77,IF(T77&gt;0,"Revisar movimentos",IF(AND(ISNUMBER(J77),J77&lt;0),"Saldo negativo","Status esgotado com saldo"))),IF(AG77&lt;&gt;"",AG77&amp;". ","")&amp;IF(J77&lt;=0,"",IF(N77="VENCIDO","Validade vencida. ","")&amp;IF(M77="Quarentena","Em quarentena. ","")&amp;IF(M77="Bloqueado","Lote bloqueado. ","")&amp;IF(N77="CRÍTICO","Validade crítica. ","")&amp;IF(N77="VENCE NA JANELA","Vence na janela. ","")))))</x:f>
      </x:c>
      <x:c r="Z77" s="167" t="n">
        <x:f>IF(OR(X77=0,Y77=""),0,IF(OR(Listas!$B$13&lt;&gt;"OK",U77&gt;0,AH77&gt;0),1,IF(N77="VENCIDO",2,IF(OR(M77="Quarentena",M77="Bloqueado"),3,IF(N77="CRÍTICO",4,5)))))</x:f>
        <x:v>0</x:v>
      </x:c>
      <x:c r="AA77" s="167" t="n">
        <x:f>IF(Z77=0,0,COUNTIFS($Z$5:$Z$204,"&gt;0",$Z$5:$Z$204,"&lt;"&amp;Z77,$X$5:$X$204,1)+COUNTIFS($Z$5:Z77,Z77,$X$5:X77,1))</x:f>
        <x:v>0</x:v>
      </x:c>
      <x:c r="AB77" s="168"/>
      <x:c r="AC77" s="168"/>
      <x:c r="AD77" s="169"/>
      <x:c r="AE77" s="167" t="str">
        <x:f>IF(X77=0,"",IF(OR(U77&gt;0,Listas!$B$13&lt;&gt;"OK"),"Dados pendentes",IF(J77&lt;=0,"Sem saldo",IF(N77="VENCIDO","Vencidos",IF(OR(M77="Quarentena",M77="Bloqueado"),"Restritos vigentes",IF(OR(N77="CRÍTICO",N77="VENCE NA JANELA"),"Liberados na janela","Demais liberados"))))))</x:f>
      </x:c>
      <x:c r="AF77" s="167" t="str">
        <x:f>IF(A77&lt;&gt;"",A77,IF(U77&gt;0,"Sem ID (linha "&amp;ROW()&amp;")",""))</x:f>
      </x:c>
      <x:c r="AG77" s="167" t="str">
        <x:f>IF(AD77="","",IF(OR(NOT(ISNUMBER(AD77)),AD77&lt;=0),"Prazo da ação inválido",""))</x:f>
      </x:c>
      <x:c r="AH77" s="167" t="n">
        <x:f>IF(AG77="",0,1)</x:f>
        <x:v>0</x:v>
      </x:c>
    </x:row>
    <x:row r="78" ht="32" customHeight="1">
      <x:c r="A78" s="27"/>
      <x:c r="B78" s="27"/>
      <x:c r="C78" s="40" t="str">
        <x:f>IF($B78="","",IFERROR(INDEX(Produtos!$B$5:$B$204,MATCH($B78,Produtos!$A$5:$A$204,0)),""))</x:f>
      </x:c>
      <x:c r="D78" s="170"/>
      <x:c r="E78" s="179"/>
      <x:c r="F78" s="179"/>
      <x:c r="G78" s="179"/>
      <x:c r="H78" s="40" t="str">
        <x:f>IF(A78="","",IF(OR(S78&lt;&gt;"",Listas!$B$13&lt;&gt;"OK"),"n.a.",G78-Listas!$B$6))</x:f>
      </x:c>
      <x:c r="I78" s="40"/>
      <x:c r="J78" s="40" t="str">
        <x:f>IF(A78="","",IF(OR(S78&lt;&gt;"",T78&gt;0,Listas!$B$13&lt;&gt;"OK"),"n.a.",SUMIFS(Movimentacoes!$H$5:$H$304,Movimentacoes!$D$5:$D$304,A78,Movimentacoes!$B$5:$B$304,"&lt;="&amp;Listas!$B$6)))</x:f>
      </x:c>
      <x:c r="K78" s="180"/>
      <x:c r="L78" s="181" t="str">
        <x:f>IF(A78="","",IF(OR(U78&gt;0,Listas!$B$13&lt;&gt;"OK"),"n.a.",J78*K78))</x:f>
      </x:c>
      <x:c r="M78" s="27"/>
      <x:c r="N78" s="40" t="str">
        <x:f>IF(A78="","",IF(OR(U78&gt;0,Listas!$B$13&lt;&gt;"OK"),"REVISAR DADOS",IF(J78=0,"SEM SALDO",IF(G78&lt;Listas!$B$6,"VENCIDO",IF(H78&lt;=Listas!$B$7,"CRÍTICO",IF(H78&lt;=Listas!$B$8,"VENCE NA JANELA","OK"))))))</x:f>
      </x:c>
      <x:c r="O78" s="41" t="str">
        <x:f>IF(A78="","",IF(AND(ISNUMBER(V78),V78&gt;0),G78,""))</x:f>
      </x:c>
      <x:c r="P78" s="40" t="str">
        <x:f>IF(A78="","",IF(OR(U78&gt;0,Listas!$B$13&lt;&gt;"OK"),"REVISAR DADOS",IF(J78=0,"ARQUIVAR LOTE",IF(M78="Quarentena","DECIDIR LIBERAÇÃO",IF(M78="Bloqueado","SEGREGAR E INVESTIGAR",IF(M78="Esgotado","REVISAR STATUS COM SALDO",IF(N78="VENCIDO","SEGREGAR E AVALIAR DESTINAÇÃO",IF(OR(N78="CRÍTICO",N78="VENCE NA JANELA"),"PRIORIZAR FEFO","MANTER ROTAÇÃO"))))))))</x:f>
      </x:c>
      <x:c r="Q78" s="27"/>
      <x:c r="R78" s="181" t="str">
        <x:f>IF(A78="","",IF(OR(U78&gt;0,Listas!$B$13&lt;&gt;"OK"),"n.a.",IF(OR(N78="VENCIDO",N78="CRÍTICO",N78="VENCE NA JANELA",M78="Quarentena",M78="Bloqueado"),L78,0)))</x:f>
      </x:c>
      <x:c r="S78" s="163" t="str">
        <x:f>IF(COUNTA(A78:B78,D78:G78,I78,K78,M78,Q78,AB78:AD78)=0,"",IF(OR(A78="",COUNTIFS($A$5:$A$204,A78)&lt;&gt;1),"Lote ausente ou duplicado",IF(OR(B78="",COUNTIFS(Produtos!$A$5:$A$204,B78)&lt;&gt;1),"SKU ausente ou desconhecido",IF(COUNTIFS(Produtos!$A$5:$A$204,B78,Produtos!$R$5:$R$204,1)&gt;0,"Revisar cadastro do produto",IF(OR(NOT(ISNUMBER(E78)),E78&lt;=0,NOT(ISNUMBER(G78)),G78&lt;=0,G78&lt;E78),"Recebimento ou validade inválida",IF(AND(F78&lt;&gt;"",OR(NOT(ISNUMBER(F78)),F78&lt;=0,F78&gt;E78)),"Fabricação inválida ou posterior ao recebimento",IF(OR(NOT(ISNUMBER(K78)),K78&lt;0,NOT(ISNUMBER(I78)),I78&lt;0),"Quantidade recebida ou custo inválido",IF(AND(M78&lt;&gt;"Liberado",M78&lt;&gt;"Quarentena",M78&lt;&gt;"Bloqueado",M78&lt;&gt;"Esgotado"),"Status de lote inválido",""))))))))</x:f>
      </x:c>
      <x:c r="T78" s="163" t="n">
        <x:f>IF(A78="",0,COUNTIFS(Movimentacoes!$D$5:$D$304,A78,Movimentacoes!$P$5:$P$304,1))</x:f>
        <x:v>0</x:v>
      </x:c>
      <x:c r="U78" s="163" t="n">
        <x:f>IF(COUNTA(A78:B78,D78:G78,I78,K78,M78,Q78,AB78:AD78)=0,0,IF(OR(S78&lt;&gt;"",T78&gt;0),1,IF(ISNUMBER(J78),IF(OR(J78&lt;0,AND(J78&gt;0,M78="Esgotado")),1,0),0)))</x:f>
        <x:v>0</x:v>
      </x:c>
      <x:c r="V78" s="163" t="str">
        <x:f>IF(A78="","",IF(OR(U78&gt;0,Listas!$B$13&lt;&gt;"OK"),"n.a.",IF(AND(J78&gt;0,M78="Liberado",G78&gt;=Listas!$B$6),J78,0)))</x:f>
      </x:c>
      <x:c r="W78" s="163" t="str">
        <x:f>IF(A78="","",IF(OR(U78&gt;0,Listas!$B$13&lt;&gt;"OK"),"n.a.",V78*K78))</x:f>
      </x:c>
      <x:c r="X78" s="167" t="n">
        <x:f>IF(COUNTA(A78:B78,D78:G78,I78,K78,M78,Q78,AB78:AD78)=0,0,IF(OR(Listas!$B$19="Todos",B78=Listas!$B$19,COUNTIFS(Produtos!$A$5:$A$204,B78)&lt;&gt;1),1,0))</x:f>
        <x:v>0</x:v>
      </x:c>
      <x:c r="Y78" s="167" t="str">
        <x:f>IF(X78=0,"",IF(Listas!$B$13&lt;&gt;"OK","Revisar parâmetros",IF(U78&gt;0,IF(S78&lt;&gt;"",S78,IF(T78&gt;0,"Revisar movimentos",IF(AND(ISNUMBER(J78),J78&lt;0),"Saldo negativo","Status esgotado com saldo"))),IF(AG78&lt;&gt;"",AG78&amp;". ","")&amp;IF(J78&lt;=0,"",IF(N78="VENCIDO","Validade vencida. ","")&amp;IF(M78="Quarentena","Em quarentena. ","")&amp;IF(M78="Bloqueado","Lote bloqueado. ","")&amp;IF(N78="CRÍTICO","Validade crítica. ","")&amp;IF(N78="VENCE NA JANELA","Vence na janela. ","")))))</x:f>
      </x:c>
      <x:c r="Z78" s="167" t="n">
        <x:f>IF(OR(X78=0,Y78=""),0,IF(OR(Listas!$B$13&lt;&gt;"OK",U78&gt;0,AH78&gt;0),1,IF(N78="VENCIDO",2,IF(OR(M78="Quarentena",M78="Bloqueado"),3,IF(N78="CRÍTICO",4,5)))))</x:f>
        <x:v>0</x:v>
      </x:c>
      <x:c r="AA78" s="167" t="n">
        <x:f>IF(Z78=0,0,COUNTIFS($Z$5:$Z$204,"&gt;0",$Z$5:$Z$204,"&lt;"&amp;Z78,$X$5:$X$204,1)+COUNTIFS($Z$5:Z78,Z78,$X$5:X78,1))</x:f>
        <x:v>0</x:v>
      </x:c>
      <x:c r="AB78" s="168"/>
      <x:c r="AC78" s="168"/>
      <x:c r="AD78" s="169"/>
      <x:c r="AE78" s="167" t="str">
        <x:f>IF(X78=0,"",IF(OR(U78&gt;0,Listas!$B$13&lt;&gt;"OK"),"Dados pendentes",IF(J78&lt;=0,"Sem saldo",IF(N78="VENCIDO","Vencidos",IF(OR(M78="Quarentena",M78="Bloqueado"),"Restritos vigentes",IF(OR(N78="CRÍTICO",N78="VENCE NA JANELA"),"Liberados na janela","Demais liberados"))))))</x:f>
      </x:c>
      <x:c r="AF78" s="167" t="str">
        <x:f>IF(A78&lt;&gt;"",A78,IF(U78&gt;0,"Sem ID (linha "&amp;ROW()&amp;")",""))</x:f>
      </x:c>
      <x:c r="AG78" s="167" t="str">
        <x:f>IF(AD78="","",IF(OR(NOT(ISNUMBER(AD78)),AD78&lt;=0),"Prazo da ação inválido",""))</x:f>
      </x:c>
      <x:c r="AH78" s="167" t="n">
        <x:f>IF(AG78="",0,1)</x:f>
        <x:v>0</x:v>
      </x:c>
    </x:row>
    <x:row r="79" ht="32" customHeight="1">
      <x:c r="A79" s="27"/>
      <x:c r="B79" s="27"/>
      <x:c r="C79" s="40" t="str">
        <x:f>IF($B79="","",IFERROR(INDEX(Produtos!$B$5:$B$204,MATCH($B79,Produtos!$A$5:$A$204,0)),""))</x:f>
      </x:c>
      <x:c r="D79" s="170"/>
      <x:c r="E79" s="179"/>
      <x:c r="F79" s="179"/>
      <x:c r="G79" s="179"/>
      <x:c r="H79" s="40" t="str">
        <x:f>IF(A79="","",IF(OR(S79&lt;&gt;"",Listas!$B$13&lt;&gt;"OK"),"n.a.",G79-Listas!$B$6))</x:f>
      </x:c>
      <x:c r="I79" s="40"/>
      <x:c r="J79" s="40" t="str">
        <x:f>IF(A79="","",IF(OR(S79&lt;&gt;"",T79&gt;0,Listas!$B$13&lt;&gt;"OK"),"n.a.",SUMIFS(Movimentacoes!$H$5:$H$304,Movimentacoes!$D$5:$D$304,A79,Movimentacoes!$B$5:$B$304,"&lt;="&amp;Listas!$B$6)))</x:f>
      </x:c>
      <x:c r="K79" s="180"/>
      <x:c r="L79" s="181" t="str">
        <x:f>IF(A79="","",IF(OR(U79&gt;0,Listas!$B$13&lt;&gt;"OK"),"n.a.",J79*K79))</x:f>
      </x:c>
      <x:c r="M79" s="27"/>
      <x:c r="N79" s="40" t="str">
        <x:f>IF(A79="","",IF(OR(U79&gt;0,Listas!$B$13&lt;&gt;"OK"),"REVISAR DADOS",IF(J79=0,"SEM SALDO",IF(G79&lt;Listas!$B$6,"VENCIDO",IF(H79&lt;=Listas!$B$7,"CRÍTICO",IF(H79&lt;=Listas!$B$8,"VENCE NA JANELA","OK"))))))</x:f>
      </x:c>
      <x:c r="O79" s="41" t="str">
        <x:f>IF(A79="","",IF(AND(ISNUMBER(V79),V79&gt;0),G79,""))</x:f>
      </x:c>
      <x:c r="P79" s="40" t="str">
        <x:f>IF(A79="","",IF(OR(U79&gt;0,Listas!$B$13&lt;&gt;"OK"),"REVISAR DADOS",IF(J79=0,"ARQUIVAR LOTE",IF(M79="Quarentena","DECIDIR LIBERAÇÃO",IF(M79="Bloqueado","SEGREGAR E INVESTIGAR",IF(M79="Esgotado","REVISAR STATUS COM SALDO",IF(N79="VENCIDO","SEGREGAR E AVALIAR DESTINAÇÃO",IF(OR(N79="CRÍTICO",N79="VENCE NA JANELA"),"PRIORIZAR FEFO","MANTER ROTAÇÃO"))))))))</x:f>
      </x:c>
      <x:c r="Q79" s="27"/>
      <x:c r="R79" s="181" t="str">
        <x:f>IF(A79="","",IF(OR(U79&gt;0,Listas!$B$13&lt;&gt;"OK"),"n.a.",IF(OR(N79="VENCIDO",N79="CRÍTICO",N79="VENCE NA JANELA",M79="Quarentena",M79="Bloqueado"),L79,0)))</x:f>
      </x:c>
      <x:c r="S79" s="163" t="str">
        <x:f>IF(COUNTA(A79:B79,D79:G79,I79,K79,M79,Q79,AB79:AD79)=0,"",IF(OR(A79="",COUNTIFS($A$5:$A$204,A79)&lt;&gt;1),"Lote ausente ou duplicado",IF(OR(B79="",COUNTIFS(Produtos!$A$5:$A$204,B79)&lt;&gt;1),"SKU ausente ou desconhecido",IF(COUNTIFS(Produtos!$A$5:$A$204,B79,Produtos!$R$5:$R$204,1)&gt;0,"Revisar cadastro do produto",IF(OR(NOT(ISNUMBER(E79)),E79&lt;=0,NOT(ISNUMBER(G79)),G79&lt;=0,G79&lt;E79),"Recebimento ou validade inválida",IF(AND(F79&lt;&gt;"",OR(NOT(ISNUMBER(F79)),F79&lt;=0,F79&gt;E79)),"Fabricação inválida ou posterior ao recebimento",IF(OR(NOT(ISNUMBER(K79)),K79&lt;0,NOT(ISNUMBER(I79)),I79&lt;0),"Quantidade recebida ou custo inválido",IF(AND(M79&lt;&gt;"Liberado",M79&lt;&gt;"Quarentena",M79&lt;&gt;"Bloqueado",M79&lt;&gt;"Esgotado"),"Status de lote inválido",""))))))))</x:f>
      </x:c>
      <x:c r="T79" s="163" t="n">
        <x:f>IF(A79="",0,COUNTIFS(Movimentacoes!$D$5:$D$304,A79,Movimentacoes!$P$5:$P$304,1))</x:f>
        <x:v>0</x:v>
      </x:c>
      <x:c r="U79" s="163" t="n">
        <x:f>IF(COUNTA(A79:B79,D79:G79,I79,K79,M79,Q79,AB79:AD79)=0,0,IF(OR(S79&lt;&gt;"",T79&gt;0),1,IF(ISNUMBER(J79),IF(OR(J79&lt;0,AND(J79&gt;0,M79="Esgotado")),1,0),0)))</x:f>
        <x:v>0</x:v>
      </x:c>
      <x:c r="V79" s="163" t="str">
        <x:f>IF(A79="","",IF(OR(U79&gt;0,Listas!$B$13&lt;&gt;"OK"),"n.a.",IF(AND(J79&gt;0,M79="Liberado",G79&gt;=Listas!$B$6),J79,0)))</x:f>
      </x:c>
      <x:c r="W79" s="163" t="str">
        <x:f>IF(A79="","",IF(OR(U79&gt;0,Listas!$B$13&lt;&gt;"OK"),"n.a.",V79*K79))</x:f>
      </x:c>
      <x:c r="X79" s="167" t="n">
        <x:f>IF(COUNTA(A79:B79,D79:G79,I79,K79,M79,Q79,AB79:AD79)=0,0,IF(OR(Listas!$B$19="Todos",B79=Listas!$B$19,COUNTIFS(Produtos!$A$5:$A$204,B79)&lt;&gt;1),1,0))</x:f>
        <x:v>0</x:v>
      </x:c>
      <x:c r="Y79" s="167" t="str">
        <x:f>IF(X79=0,"",IF(Listas!$B$13&lt;&gt;"OK","Revisar parâmetros",IF(U79&gt;0,IF(S79&lt;&gt;"",S79,IF(T79&gt;0,"Revisar movimentos",IF(AND(ISNUMBER(J79),J79&lt;0),"Saldo negativo","Status esgotado com saldo"))),IF(AG79&lt;&gt;"",AG79&amp;". ","")&amp;IF(J79&lt;=0,"",IF(N79="VENCIDO","Validade vencida. ","")&amp;IF(M79="Quarentena","Em quarentena. ","")&amp;IF(M79="Bloqueado","Lote bloqueado. ","")&amp;IF(N79="CRÍTICO","Validade crítica. ","")&amp;IF(N79="VENCE NA JANELA","Vence na janela. ","")))))</x:f>
      </x:c>
      <x:c r="Z79" s="167" t="n">
        <x:f>IF(OR(X79=0,Y79=""),0,IF(OR(Listas!$B$13&lt;&gt;"OK",U79&gt;0,AH79&gt;0),1,IF(N79="VENCIDO",2,IF(OR(M79="Quarentena",M79="Bloqueado"),3,IF(N79="CRÍTICO",4,5)))))</x:f>
        <x:v>0</x:v>
      </x:c>
      <x:c r="AA79" s="167" t="n">
        <x:f>IF(Z79=0,0,COUNTIFS($Z$5:$Z$204,"&gt;0",$Z$5:$Z$204,"&lt;"&amp;Z79,$X$5:$X$204,1)+COUNTIFS($Z$5:Z79,Z79,$X$5:X79,1))</x:f>
        <x:v>0</x:v>
      </x:c>
      <x:c r="AB79" s="168"/>
      <x:c r="AC79" s="168"/>
      <x:c r="AD79" s="169"/>
      <x:c r="AE79" s="167" t="str">
        <x:f>IF(X79=0,"",IF(OR(U79&gt;0,Listas!$B$13&lt;&gt;"OK"),"Dados pendentes",IF(J79&lt;=0,"Sem saldo",IF(N79="VENCIDO","Vencidos",IF(OR(M79="Quarentena",M79="Bloqueado"),"Restritos vigentes",IF(OR(N79="CRÍTICO",N79="VENCE NA JANELA"),"Liberados na janela","Demais liberados"))))))</x:f>
      </x:c>
      <x:c r="AF79" s="167" t="str">
        <x:f>IF(A79&lt;&gt;"",A79,IF(U79&gt;0,"Sem ID (linha "&amp;ROW()&amp;")",""))</x:f>
      </x:c>
      <x:c r="AG79" s="167" t="str">
        <x:f>IF(AD79="","",IF(OR(NOT(ISNUMBER(AD79)),AD79&lt;=0),"Prazo da ação inválido",""))</x:f>
      </x:c>
      <x:c r="AH79" s="167" t="n">
        <x:f>IF(AG79="",0,1)</x:f>
        <x:v>0</x:v>
      </x:c>
    </x:row>
    <x:row r="80" ht="32" customHeight="1">
      <x:c r="A80" s="27"/>
      <x:c r="B80" s="27"/>
      <x:c r="C80" s="40" t="str">
        <x:f>IF($B80="","",IFERROR(INDEX(Produtos!$B$5:$B$204,MATCH($B80,Produtos!$A$5:$A$204,0)),""))</x:f>
      </x:c>
      <x:c r="D80" s="170"/>
      <x:c r="E80" s="179"/>
      <x:c r="F80" s="179"/>
      <x:c r="G80" s="179"/>
      <x:c r="H80" s="40" t="str">
        <x:f>IF(A80="","",IF(OR(S80&lt;&gt;"",Listas!$B$13&lt;&gt;"OK"),"n.a.",G80-Listas!$B$6))</x:f>
      </x:c>
      <x:c r="I80" s="40"/>
      <x:c r="J80" s="40" t="str">
        <x:f>IF(A80="","",IF(OR(S80&lt;&gt;"",T80&gt;0,Listas!$B$13&lt;&gt;"OK"),"n.a.",SUMIFS(Movimentacoes!$H$5:$H$304,Movimentacoes!$D$5:$D$304,A80,Movimentacoes!$B$5:$B$304,"&lt;="&amp;Listas!$B$6)))</x:f>
      </x:c>
      <x:c r="K80" s="180"/>
      <x:c r="L80" s="181" t="str">
        <x:f>IF(A80="","",IF(OR(U80&gt;0,Listas!$B$13&lt;&gt;"OK"),"n.a.",J80*K80))</x:f>
      </x:c>
      <x:c r="M80" s="27"/>
      <x:c r="N80" s="40" t="str">
        <x:f>IF(A80="","",IF(OR(U80&gt;0,Listas!$B$13&lt;&gt;"OK"),"REVISAR DADOS",IF(J80=0,"SEM SALDO",IF(G80&lt;Listas!$B$6,"VENCIDO",IF(H80&lt;=Listas!$B$7,"CRÍTICO",IF(H80&lt;=Listas!$B$8,"VENCE NA JANELA","OK"))))))</x:f>
      </x:c>
      <x:c r="O80" s="41" t="str">
        <x:f>IF(A80="","",IF(AND(ISNUMBER(V80),V80&gt;0),G80,""))</x:f>
      </x:c>
      <x:c r="P80" s="40" t="str">
        <x:f>IF(A80="","",IF(OR(U80&gt;0,Listas!$B$13&lt;&gt;"OK"),"REVISAR DADOS",IF(J80=0,"ARQUIVAR LOTE",IF(M80="Quarentena","DECIDIR LIBERAÇÃO",IF(M80="Bloqueado","SEGREGAR E INVESTIGAR",IF(M80="Esgotado","REVISAR STATUS COM SALDO",IF(N80="VENCIDO","SEGREGAR E AVALIAR DESTINAÇÃO",IF(OR(N80="CRÍTICO",N80="VENCE NA JANELA"),"PRIORIZAR FEFO","MANTER ROTAÇÃO"))))))))</x:f>
      </x:c>
      <x:c r="Q80" s="27"/>
      <x:c r="R80" s="181" t="str">
        <x:f>IF(A80="","",IF(OR(U80&gt;0,Listas!$B$13&lt;&gt;"OK"),"n.a.",IF(OR(N80="VENCIDO",N80="CRÍTICO",N80="VENCE NA JANELA",M80="Quarentena",M80="Bloqueado"),L80,0)))</x:f>
      </x:c>
      <x:c r="S80" s="163" t="str">
        <x:f>IF(COUNTA(A80:B80,D80:G80,I80,K80,M80,Q80,AB80:AD80)=0,"",IF(OR(A80="",COUNTIFS($A$5:$A$204,A80)&lt;&gt;1),"Lote ausente ou duplicado",IF(OR(B80="",COUNTIFS(Produtos!$A$5:$A$204,B80)&lt;&gt;1),"SKU ausente ou desconhecido",IF(COUNTIFS(Produtos!$A$5:$A$204,B80,Produtos!$R$5:$R$204,1)&gt;0,"Revisar cadastro do produto",IF(OR(NOT(ISNUMBER(E80)),E80&lt;=0,NOT(ISNUMBER(G80)),G80&lt;=0,G80&lt;E80),"Recebimento ou validade inválida",IF(AND(F80&lt;&gt;"",OR(NOT(ISNUMBER(F80)),F80&lt;=0,F80&gt;E80)),"Fabricação inválida ou posterior ao recebimento",IF(OR(NOT(ISNUMBER(K80)),K80&lt;0,NOT(ISNUMBER(I80)),I80&lt;0),"Quantidade recebida ou custo inválido",IF(AND(M80&lt;&gt;"Liberado",M80&lt;&gt;"Quarentena",M80&lt;&gt;"Bloqueado",M80&lt;&gt;"Esgotado"),"Status de lote inválido",""))))))))</x:f>
      </x:c>
      <x:c r="T80" s="163" t="n">
        <x:f>IF(A80="",0,COUNTIFS(Movimentacoes!$D$5:$D$304,A80,Movimentacoes!$P$5:$P$304,1))</x:f>
        <x:v>0</x:v>
      </x:c>
      <x:c r="U80" s="163" t="n">
        <x:f>IF(COUNTA(A80:B80,D80:G80,I80,K80,M80,Q80,AB80:AD80)=0,0,IF(OR(S80&lt;&gt;"",T80&gt;0),1,IF(ISNUMBER(J80),IF(OR(J80&lt;0,AND(J80&gt;0,M80="Esgotado")),1,0),0)))</x:f>
        <x:v>0</x:v>
      </x:c>
      <x:c r="V80" s="163" t="str">
        <x:f>IF(A80="","",IF(OR(U80&gt;0,Listas!$B$13&lt;&gt;"OK"),"n.a.",IF(AND(J80&gt;0,M80="Liberado",G80&gt;=Listas!$B$6),J80,0)))</x:f>
      </x:c>
      <x:c r="W80" s="163" t="str">
        <x:f>IF(A80="","",IF(OR(U80&gt;0,Listas!$B$13&lt;&gt;"OK"),"n.a.",V80*K80))</x:f>
      </x:c>
      <x:c r="X80" s="167" t="n">
        <x:f>IF(COUNTA(A80:B80,D80:G80,I80,K80,M80,Q80,AB80:AD80)=0,0,IF(OR(Listas!$B$19="Todos",B80=Listas!$B$19,COUNTIFS(Produtos!$A$5:$A$204,B80)&lt;&gt;1),1,0))</x:f>
        <x:v>0</x:v>
      </x:c>
      <x:c r="Y80" s="167" t="str">
        <x:f>IF(X80=0,"",IF(Listas!$B$13&lt;&gt;"OK","Revisar parâmetros",IF(U80&gt;0,IF(S80&lt;&gt;"",S80,IF(T80&gt;0,"Revisar movimentos",IF(AND(ISNUMBER(J80),J80&lt;0),"Saldo negativo","Status esgotado com saldo"))),IF(AG80&lt;&gt;"",AG80&amp;". ","")&amp;IF(J80&lt;=0,"",IF(N80="VENCIDO","Validade vencida. ","")&amp;IF(M80="Quarentena","Em quarentena. ","")&amp;IF(M80="Bloqueado","Lote bloqueado. ","")&amp;IF(N80="CRÍTICO","Validade crítica. ","")&amp;IF(N80="VENCE NA JANELA","Vence na janela. ","")))))</x:f>
      </x:c>
      <x:c r="Z80" s="167" t="n">
        <x:f>IF(OR(X80=0,Y80=""),0,IF(OR(Listas!$B$13&lt;&gt;"OK",U80&gt;0,AH80&gt;0),1,IF(N80="VENCIDO",2,IF(OR(M80="Quarentena",M80="Bloqueado"),3,IF(N80="CRÍTICO",4,5)))))</x:f>
        <x:v>0</x:v>
      </x:c>
      <x:c r="AA80" s="167" t="n">
        <x:f>IF(Z80=0,0,COUNTIFS($Z$5:$Z$204,"&gt;0",$Z$5:$Z$204,"&lt;"&amp;Z80,$X$5:$X$204,1)+COUNTIFS($Z$5:Z80,Z80,$X$5:X80,1))</x:f>
        <x:v>0</x:v>
      </x:c>
      <x:c r="AB80" s="168"/>
      <x:c r="AC80" s="168"/>
      <x:c r="AD80" s="169"/>
      <x:c r="AE80" s="167" t="str">
        <x:f>IF(X80=0,"",IF(OR(U80&gt;0,Listas!$B$13&lt;&gt;"OK"),"Dados pendentes",IF(J80&lt;=0,"Sem saldo",IF(N80="VENCIDO","Vencidos",IF(OR(M80="Quarentena",M80="Bloqueado"),"Restritos vigentes",IF(OR(N80="CRÍTICO",N80="VENCE NA JANELA"),"Liberados na janela","Demais liberados"))))))</x:f>
      </x:c>
      <x:c r="AF80" s="167" t="str">
        <x:f>IF(A80&lt;&gt;"",A80,IF(U80&gt;0,"Sem ID (linha "&amp;ROW()&amp;")",""))</x:f>
      </x:c>
      <x:c r="AG80" s="167" t="str">
        <x:f>IF(AD80="","",IF(OR(NOT(ISNUMBER(AD80)),AD80&lt;=0),"Prazo da ação inválido",""))</x:f>
      </x:c>
      <x:c r="AH80" s="167" t="n">
        <x:f>IF(AG80="",0,1)</x:f>
        <x:v>0</x:v>
      </x:c>
    </x:row>
    <x:row r="81" ht="32" customHeight="1">
      <x:c r="A81" s="27"/>
      <x:c r="B81" s="27"/>
      <x:c r="C81" s="40" t="str">
        <x:f>IF($B81="","",IFERROR(INDEX(Produtos!$B$5:$B$204,MATCH($B81,Produtos!$A$5:$A$204,0)),""))</x:f>
      </x:c>
      <x:c r="D81" s="170"/>
      <x:c r="E81" s="179"/>
      <x:c r="F81" s="179"/>
      <x:c r="G81" s="179"/>
      <x:c r="H81" s="40" t="str">
        <x:f>IF(A81="","",IF(OR(S81&lt;&gt;"",Listas!$B$13&lt;&gt;"OK"),"n.a.",G81-Listas!$B$6))</x:f>
      </x:c>
      <x:c r="I81" s="40"/>
      <x:c r="J81" s="40" t="str">
        <x:f>IF(A81="","",IF(OR(S81&lt;&gt;"",T81&gt;0,Listas!$B$13&lt;&gt;"OK"),"n.a.",SUMIFS(Movimentacoes!$H$5:$H$304,Movimentacoes!$D$5:$D$304,A81,Movimentacoes!$B$5:$B$304,"&lt;="&amp;Listas!$B$6)))</x:f>
      </x:c>
      <x:c r="K81" s="180"/>
      <x:c r="L81" s="181" t="str">
        <x:f>IF(A81="","",IF(OR(U81&gt;0,Listas!$B$13&lt;&gt;"OK"),"n.a.",J81*K81))</x:f>
      </x:c>
      <x:c r="M81" s="27"/>
      <x:c r="N81" s="40" t="str">
        <x:f>IF(A81="","",IF(OR(U81&gt;0,Listas!$B$13&lt;&gt;"OK"),"REVISAR DADOS",IF(J81=0,"SEM SALDO",IF(G81&lt;Listas!$B$6,"VENCIDO",IF(H81&lt;=Listas!$B$7,"CRÍTICO",IF(H81&lt;=Listas!$B$8,"VENCE NA JANELA","OK"))))))</x:f>
      </x:c>
      <x:c r="O81" s="41" t="str">
        <x:f>IF(A81="","",IF(AND(ISNUMBER(V81),V81&gt;0),G81,""))</x:f>
      </x:c>
      <x:c r="P81" s="40" t="str">
        <x:f>IF(A81="","",IF(OR(U81&gt;0,Listas!$B$13&lt;&gt;"OK"),"REVISAR DADOS",IF(J81=0,"ARQUIVAR LOTE",IF(M81="Quarentena","DECIDIR LIBERAÇÃO",IF(M81="Bloqueado","SEGREGAR E INVESTIGAR",IF(M81="Esgotado","REVISAR STATUS COM SALDO",IF(N81="VENCIDO","SEGREGAR E AVALIAR DESTINAÇÃO",IF(OR(N81="CRÍTICO",N81="VENCE NA JANELA"),"PRIORIZAR FEFO","MANTER ROTAÇÃO"))))))))</x:f>
      </x:c>
      <x:c r="Q81" s="27"/>
      <x:c r="R81" s="181" t="str">
        <x:f>IF(A81="","",IF(OR(U81&gt;0,Listas!$B$13&lt;&gt;"OK"),"n.a.",IF(OR(N81="VENCIDO",N81="CRÍTICO",N81="VENCE NA JANELA",M81="Quarentena",M81="Bloqueado"),L81,0)))</x:f>
      </x:c>
      <x:c r="S81" s="163" t="str">
        <x:f>IF(COUNTA(A81:B81,D81:G81,I81,K81,M81,Q81,AB81:AD81)=0,"",IF(OR(A81="",COUNTIFS($A$5:$A$204,A81)&lt;&gt;1),"Lote ausente ou duplicado",IF(OR(B81="",COUNTIFS(Produtos!$A$5:$A$204,B81)&lt;&gt;1),"SKU ausente ou desconhecido",IF(COUNTIFS(Produtos!$A$5:$A$204,B81,Produtos!$R$5:$R$204,1)&gt;0,"Revisar cadastro do produto",IF(OR(NOT(ISNUMBER(E81)),E81&lt;=0,NOT(ISNUMBER(G81)),G81&lt;=0,G81&lt;E81),"Recebimento ou validade inválida",IF(AND(F81&lt;&gt;"",OR(NOT(ISNUMBER(F81)),F81&lt;=0,F81&gt;E81)),"Fabricação inválida ou posterior ao recebimento",IF(OR(NOT(ISNUMBER(K81)),K81&lt;0,NOT(ISNUMBER(I81)),I81&lt;0),"Quantidade recebida ou custo inválido",IF(AND(M81&lt;&gt;"Liberado",M81&lt;&gt;"Quarentena",M81&lt;&gt;"Bloqueado",M81&lt;&gt;"Esgotado"),"Status de lote inválido",""))))))))</x:f>
      </x:c>
      <x:c r="T81" s="163" t="n">
        <x:f>IF(A81="",0,COUNTIFS(Movimentacoes!$D$5:$D$304,A81,Movimentacoes!$P$5:$P$304,1))</x:f>
        <x:v>0</x:v>
      </x:c>
      <x:c r="U81" s="163" t="n">
        <x:f>IF(COUNTA(A81:B81,D81:G81,I81,K81,M81,Q81,AB81:AD81)=0,0,IF(OR(S81&lt;&gt;"",T81&gt;0),1,IF(ISNUMBER(J81),IF(OR(J81&lt;0,AND(J81&gt;0,M81="Esgotado")),1,0),0)))</x:f>
        <x:v>0</x:v>
      </x:c>
      <x:c r="V81" s="163" t="str">
        <x:f>IF(A81="","",IF(OR(U81&gt;0,Listas!$B$13&lt;&gt;"OK"),"n.a.",IF(AND(J81&gt;0,M81="Liberado",G81&gt;=Listas!$B$6),J81,0)))</x:f>
      </x:c>
      <x:c r="W81" s="163" t="str">
        <x:f>IF(A81="","",IF(OR(U81&gt;0,Listas!$B$13&lt;&gt;"OK"),"n.a.",V81*K81))</x:f>
      </x:c>
      <x:c r="X81" s="167" t="n">
        <x:f>IF(COUNTA(A81:B81,D81:G81,I81,K81,M81,Q81,AB81:AD81)=0,0,IF(OR(Listas!$B$19="Todos",B81=Listas!$B$19,COUNTIFS(Produtos!$A$5:$A$204,B81)&lt;&gt;1),1,0))</x:f>
        <x:v>0</x:v>
      </x:c>
      <x:c r="Y81" s="167" t="str">
        <x:f>IF(X81=0,"",IF(Listas!$B$13&lt;&gt;"OK","Revisar parâmetros",IF(U81&gt;0,IF(S81&lt;&gt;"",S81,IF(T81&gt;0,"Revisar movimentos",IF(AND(ISNUMBER(J81),J81&lt;0),"Saldo negativo","Status esgotado com saldo"))),IF(AG81&lt;&gt;"",AG81&amp;". ","")&amp;IF(J81&lt;=0,"",IF(N81="VENCIDO","Validade vencida. ","")&amp;IF(M81="Quarentena","Em quarentena. ","")&amp;IF(M81="Bloqueado","Lote bloqueado. ","")&amp;IF(N81="CRÍTICO","Validade crítica. ","")&amp;IF(N81="VENCE NA JANELA","Vence na janela. ","")))))</x:f>
      </x:c>
      <x:c r="Z81" s="167" t="n">
        <x:f>IF(OR(X81=0,Y81=""),0,IF(OR(Listas!$B$13&lt;&gt;"OK",U81&gt;0,AH81&gt;0),1,IF(N81="VENCIDO",2,IF(OR(M81="Quarentena",M81="Bloqueado"),3,IF(N81="CRÍTICO",4,5)))))</x:f>
        <x:v>0</x:v>
      </x:c>
      <x:c r="AA81" s="167" t="n">
        <x:f>IF(Z81=0,0,COUNTIFS($Z$5:$Z$204,"&gt;0",$Z$5:$Z$204,"&lt;"&amp;Z81,$X$5:$X$204,1)+COUNTIFS($Z$5:Z81,Z81,$X$5:X81,1))</x:f>
        <x:v>0</x:v>
      </x:c>
      <x:c r="AB81" s="168"/>
      <x:c r="AC81" s="168"/>
      <x:c r="AD81" s="169"/>
      <x:c r="AE81" s="167" t="str">
        <x:f>IF(X81=0,"",IF(OR(U81&gt;0,Listas!$B$13&lt;&gt;"OK"),"Dados pendentes",IF(J81&lt;=0,"Sem saldo",IF(N81="VENCIDO","Vencidos",IF(OR(M81="Quarentena",M81="Bloqueado"),"Restritos vigentes",IF(OR(N81="CRÍTICO",N81="VENCE NA JANELA"),"Liberados na janela","Demais liberados"))))))</x:f>
      </x:c>
      <x:c r="AF81" s="167" t="str">
        <x:f>IF(A81&lt;&gt;"",A81,IF(U81&gt;0,"Sem ID (linha "&amp;ROW()&amp;")",""))</x:f>
      </x:c>
      <x:c r="AG81" s="167" t="str">
        <x:f>IF(AD81="","",IF(OR(NOT(ISNUMBER(AD81)),AD81&lt;=0),"Prazo da ação inválido",""))</x:f>
      </x:c>
      <x:c r="AH81" s="167" t="n">
        <x:f>IF(AG81="",0,1)</x:f>
        <x:v>0</x:v>
      </x:c>
    </x:row>
    <x:row r="82" ht="32" customHeight="1">
      <x:c r="A82" s="27"/>
      <x:c r="B82" s="27"/>
      <x:c r="C82" s="40" t="str">
        <x:f>IF($B82="","",IFERROR(INDEX(Produtos!$B$5:$B$204,MATCH($B82,Produtos!$A$5:$A$204,0)),""))</x:f>
      </x:c>
      <x:c r="D82" s="170"/>
      <x:c r="E82" s="179"/>
      <x:c r="F82" s="179"/>
      <x:c r="G82" s="179"/>
      <x:c r="H82" s="40" t="str">
        <x:f>IF(A82="","",IF(OR(S82&lt;&gt;"",Listas!$B$13&lt;&gt;"OK"),"n.a.",G82-Listas!$B$6))</x:f>
      </x:c>
      <x:c r="I82" s="40"/>
      <x:c r="J82" s="40" t="str">
        <x:f>IF(A82="","",IF(OR(S82&lt;&gt;"",T82&gt;0,Listas!$B$13&lt;&gt;"OK"),"n.a.",SUMIFS(Movimentacoes!$H$5:$H$304,Movimentacoes!$D$5:$D$304,A82,Movimentacoes!$B$5:$B$304,"&lt;="&amp;Listas!$B$6)))</x:f>
      </x:c>
      <x:c r="K82" s="180"/>
      <x:c r="L82" s="181" t="str">
        <x:f>IF(A82="","",IF(OR(U82&gt;0,Listas!$B$13&lt;&gt;"OK"),"n.a.",J82*K82))</x:f>
      </x:c>
      <x:c r="M82" s="27"/>
      <x:c r="N82" s="40" t="str">
        <x:f>IF(A82="","",IF(OR(U82&gt;0,Listas!$B$13&lt;&gt;"OK"),"REVISAR DADOS",IF(J82=0,"SEM SALDO",IF(G82&lt;Listas!$B$6,"VENCIDO",IF(H82&lt;=Listas!$B$7,"CRÍTICO",IF(H82&lt;=Listas!$B$8,"VENCE NA JANELA","OK"))))))</x:f>
      </x:c>
      <x:c r="O82" s="41" t="str">
        <x:f>IF(A82="","",IF(AND(ISNUMBER(V82),V82&gt;0),G82,""))</x:f>
      </x:c>
      <x:c r="P82" s="40" t="str">
        <x:f>IF(A82="","",IF(OR(U82&gt;0,Listas!$B$13&lt;&gt;"OK"),"REVISAR DADOS",IF(J82=0,"ARQUIVAR LOTE",IF(M82="Quarentena","DECIDIR LIBERAÇÃO",IF(M82="Bloqueado","SEGREGAR E INVESTIGAR",IF(M82="Esgotado","REVISAR STATUS COM SALDO",IF(N82="VENCIDO","SEGREGAR E AVALIAR DESTINAÇÃO",IF(OR(N82="CRÍTICO",N82="VENCE NA JANELA"),"PRIORIZAR FEFO","MANTER ROTAÇÃO"))))))))</x:f>
      </x:c>
      <x:c r="Q82" s="27"/>
      <x:c r="R82" s="181" t="str">
        <x:f>IF(A82="","",IF(OR(U82&gt;0,Listas!$B$13&lt;&gt;"OK"),"n.a.",IF(OR(N82="VENCIDO",N82="CRÍTICO",N82="VENCE NA JANELA",M82="Quarentena",M82="Bloqueado"),L82,0)))</x:f>
      </x:c>
      <x:c r="S82" s="163" t="str">
        <x:f>IF(COUNTA(A82:B82,D82:G82,I82,K82,M82,Q82,AB82:AD82)=0,"",IF(OR(A82="",COUNTIFS($A$5:$A$204,A82)&lt;&gt;1),"Lote ausente ou duplicado",IF(OR(B82="",COUNTIFS(Produtos!$A$5:$A$204,B82)&lt;&gt;1),"SKU ausente ou desconhecido",IF(COUNTIFS(Produtos!$A$5:$A$204,B82,Produtos!$R$5:$R$204,1)&gt;0,"Revisar cadastro do produto",IF(OR(NOT(ISNUMBER(E82)),E82&lt;=0,NOT(ISNUMBER(G82)),G82&lt;=0,G82&lt;E82),"Recebimento ou validade inválida",IF(AND(F82&lt;&gt;"",OR(NOT(ISNUMBER(F82)),F82&lt;=0,F82&gt;E82)),"Fabricação inválida ou posterior ao recebimento",IF(OR(NOT(ISNUMBER(K82)),K82&lt;0,NOT(ISNUMBER(I82)),I82&lt;0),"Quantidade recebida ou custo inválido",IF(AND(M82&lt;&gt;"Liberado",M82&lt;&gt;"Quarentena",M82&lt;&gt;"Bloqueado",M82&lt;&gt;"Esgotado"),"Status de lote inválido",""))))))))</x:f>
      </x:c>
      <x:c r="T82" s="163" t="n">
        <x:f>IF(A82="",0,COUNTIFS(Movimentacoes!$D$5:$D$304,A82,Movimentacoes!$P$5:$P$304,1))</x:f>
        <x:v>0</x:v>
      </x:c>
      <x:c r="U82" s="163" t="n">
        <x:f>IF(COUNTA(A82:B82,D82:G82,I82,K82,M82,Q82,AB82:AD82)=0,0,IF(OR(S82&lt;&gt;"",T82&gt;0),1,IF(ISNUMBER(J82),IF(OR(J82&lt;0,AND(J82&gt;0,M82="Esgotado")),1,0),0)))</x:f>
        <x:v>0</x:v>
      </x:c>
      <x:c r="V82" s="163" t="str">
        <x:f>IF(A82="","",IF(OR(U82&gt;0,Listas!$B$13&lt;&gt;"OK"),"n.a.",IF(AND(J82&gt;0,M82="Liberado",G82&gt;=Listas!$B$6),J82,0)))</x:f>
      </x:c>
      <x:c r="W82" s="163" t="str">
        <x:f>IF(A82="","",IF(OR(U82&gt;0,Listas!$B$13&lt;&gt;"OK"),"n.a.",V82*K82))</x:f>
      </x:c>
      <x:c r="X82" s="167" t="n">
        <x:f>IF(COUNTA(A82:B82,D82:G82,I82,K82,M82,Q82,AB82:AD82)=0,0,IF(OR(Listas!$B$19="Todos",B82=Listas!$B$19,COUNTIFS(Produtos!$A$5:$A$204,B82)&lt;&gt;1),1,0))</x:f>
        <x:v>0</x:v>
      </x:c>
      <x:c r="Y82" s="167" t="str">
        <x:f>IF(X82=0,"",IF(Listas!$B$13&lt;&gt;"OK","Revisar parâmetros",IF(U82&gt;0,IF(S82&lt;&gt;"",S82,IF(T82&gt;0,"Revisar movimentos",IF(AND(ISNUMBER(J82),J82&lt;0),"Saldo negativo","Status esgotado com saldo"))),IF(AG82&lt;&gt;"",AG82&amp;". ","")&amp;IF(J82&lt;=0,"",IF(N82="VENCIDO","Validade vencida. ","")&amp;IF(M82="Quarentena","Em quarentena. ","")&amp;IF(M82="Bloqueado","Lote bloqueado. ","")&amp;IF(N82="CRÍTICO","Validade crítica. ","")&amp;IF(N82="VENCE NA JANELA","Vence na janela. ","")))))</x:f>
      </x:c>
      <x:c r="Z82" s="167" t="n">
        <x:f>IF(OR(X82=0,Y82=""),0,IF(OR(Listas!$B$13&lt;&gt;"OK",U82&gt;0,AH82&gt;0),1,IF(N82="VENCIDO",2,IF(OR(M82="Quarentena",M82="Bloqueado"),3,IF(N82="CRÍTICO",4,5)))))</x:f>
        <x:v>0</x:v>
      </x:c>
      <x:c r="AA82" s="167" t="n">
        <x:f>IF(Z82=0,0,COUNTIFS($Z$5:$Z$204,"&gt;0",$Z$5:$Z$204,"&lt;"&amp;Z82,$X$5:$X$204,1)+COUNTIFS($Z$5:Z82,Z82,$X$5:X82,1))</x:f>
        <x:v>0</x:v>
      </x:c>
      <x:c r="AB82" s="168"/>
      <x:c r="AC82" s="168"/>
      <x:c r="AD82" s="169"/>
      <x:c r="AE82" s="167" t="str">
        <x:f>IF(X82=0,"",IF(OR(U82&gt;0,Listas!$B$13&lt;&gt;"OK"),"Dados pendentes",IF(J82&lt;=0,"Sem saldo",IF(N82="VENCIDO","Vencidos",IF(OR(M82="Quarentena",M82="Bloqueado"),"Restritos vigentes",IF(OR(N82="CRÍTICO",N82="VENCE NA JANELA"),"Liberados na janela","Demais liberados"))))))</x:f>
      </x:c>
      <x:c r="AF82" s="167" t="str">
        <x:f>IF(A82&lt;&gt;"",A82,IF(U82&gt;0,"Sem ID (linha "&amp;ROW()&amp;")",""))</x:f>
      </x:c>
      <x:c r="AG82" s="167" t="str">
        <x:f>IF(AD82="","",IF(OR(NOT(ISNUMBER(AD82)),AD82&lt;=0),"Prazo da ação inválido",""))</x:f>
      </x:c>
      <x:c r="AH82" s="167" t="n">
        <x:f>IF(AG82="",0,1)</x:f>
        <x:v>0</x:v>
      </x:c>
    </x:row>
    <x:row r="83" ht="32" customHeight="1">
      <x:c r="A83" s="27"/>
      <x:c r="B83" s="27"/>
      <x:c r="C83" s="40" t="str">
        <x:f>IF($B83="","",IFERROR(INDEX(Produtos!$B$5:$B$204,MATCH($B83,Produtos!$A$5:$A$204,0)),""))</x:f>
      </x:c>
      <x:c r="D83" s="170"/>
      <x:c r="E83" s="179"/>
      <x:c r="F83" s="179"/>
      <x:c r="G83" s="179"/>
      <x:c r="H83" s="40" t="str">
        <x:f>IF(A83="","",IF(OR(S83&lt;&gt;"",Listas!$B$13&lt;&gt;"OK"),"n.a.",G83-Listas!$B$6))</x:f>
      </x:c>
      <x:c r="I83" s="40"/>
      <x:c r="J83" s="40" t="str">
        <x:f>IF(A83="","",IF(OR(S83&lt;&gt;"",T83&gt;0,Listas!$B$13&lt;&gt;"OK"),"n.a.",SUMIFS(Movimentacoes!$H$5:$H$304,Movimentacoes!$D$5:$D$304,A83,Movimentacoes!$B$5:$B$304,"&lt;="&amp;Listas!$B$6)))</x:f>
      </x:c>
      <x:c r="K83" s="180"/>
      <x:c r="L83" s="181" t="str">
        <x:f>IF(A83="","",IF(OR(U83&gt;0,Listas!$B$13&lt;&gt;"OK"),"n.a.",J83*K83))</x:f>
      </x:c>
      <x:c r="M83" s="27"/>
      <x:c r="N83" s="40" t="str">
        <x:f>IF(A83="","",IF(OR(U83&gt;0,Listas!$B$13&lt;&gt;"OK"),"REVISAR DADOS",IF(J83=0,"SEM SALDO",IF(G83&lt;Listas!$B$6,"VENCIDO",IF(H83&lt;=Listas!$B$7,"CRÍTICO",IF(H83&lt;=Listas!$B$8,"VENCE NA JANELA","OK"))))))</x:f>
      </x:c>
      <x:c r="O83" s="41" t="str">
        <x:f>IF(A83="","",IF(AND(ISNUMBER(V83),V83&gt;0),G83,""))</x:f>
      </x:c>
      <x:c r="P83" s="40" t="str">
        <x:f>IF(A83="","",IF(OR(U83&gt;0,Listas!$B$13&lt;&gt;"OK"),"REVISAR DADOS",IF(J83=0,"ARQUIVAR LOTE",IF(M83="Quarentena","DECIDIR LIBERAÇÃO",IF(M83="Bloqueado","SEGREGAR E INVESTIGAR",IF(M83="Esgotado","REVISAR STATUS COM SALDO",IF(N83="VENCIDO","SEGREGAR E AVALIAR DESTINAÇÃO",IF(OR(N83="CRÍTICO",N83="VENCE NA JANELA"),"PRIORIZAR FEFO","MANTER ROTAÇÃO"))))))))</x:f>
      </x:c>
      <x:c r="Q83" s="27"/>
      <x:c r="R83" s="181" t="str">
        <x:f>IF(A83="","",IF(OR(U83&gt;0,Listas!$B$13&lt;&gt;"OK"),"n.a.",IF(OR(N83="VENCIDO",N83="CRÍTICO",N83="VENCE NA JANELA",M83="Quarentena",M83="Bloqueado"),L83,0)))</x:f>
      </x:c>
      <x:c r="S83" s="163" t="str">
        <x:f>IF(COUNTA(A83:B83,D83:G83,I83,K83,M83,Q83,AB83:AD83)=0,"",IF(OR(A83="",COUNTIFS($A$5:$A$204,A83)&lt;&gt;1),"Lote ausente ou duplicado",IF(OR(B83="",COUNTIFS(Produtos!$A$5:$A$204,B83)&lt;&gt;1),"SKU ausente ou desconhecido",IF(COUNTIFS(Produtos!$A$5:$A$204,B83,Produtos!$R$5:$R$204,1)&gt;0,"Revisar cadastro do produto",IF(OR(NOT(ISNUMBER(E83)),E83&lt;=0,NOT(ISNUMBER(G83)),G83&lt;=0,G83&lt;E83),"Recebimento ou validade inválida",IF(AND(F83&lt;&gt;"",OR(NOT(ISNUMBER(F83)),F83&lt;=0,F83&gt;E83)),"Fabricação inválida ou posterior ao recebimento",IF(OR(NOT(ISNUMBER(K83)),K83&lt;0,NOT(ISNUMBER(I83)),I83&lt;0),"Quantidade recebida ou custo inválido",IF(AND(M83&lt;&gt;"Liberado",M83&lt;&gt;"Quarentena",M83&lt;&gt;"Bloqueado",M83&lt;&gt;"Esgotado"),"Status de lote inválido",""))))))))</x:f>
      </x:c>
      <x:c r="T83" s="163" t="n">
        <x:f>IF(A83="",0,COUNTIFS(Movimentacoes!$D$5:$D$304,A83,Movimentacoes!$P$5:$P$304,1))</x:f>
        <x:v>0</x:v>
      </x:c>
      <x:c r="U83" s="163" t="n">
        <x:f>IF(COUNTA(A83:B83,D83:G83,I83,K83,M83,Q83,AB83:AD83)=0,0,IF(OR(S83&lt;&gt;"",T83&gt;0),1,IF(ISNUMBER(J83),IF(OR(J83&lt;0,AND(J83&gt;0,M83="Esgotado")),1,0),0)))</x:f>
        <x:v>0</x:v>
      </x:c>
      <x:c r="V83" s="163" t="str">
        <x:f>IF(A83="","",IF(OR(U83&gt;0,Listas!$B$13&lt;&gt;"OK"),"n.a.",IF(AND(J83&gt;0,M83="Liberado",G83&gt;=Listas!$B$6),J83,0)))</x:f>
      </x:c>
      <x:c r="W83" s="163" t="str">
        <x:f>IF(A83="","",IF(OR(U83&gt;0,Listas!$B$13&lt;&gt;"OK"),"n.a.",V83*K83))</x:f>
      </x:c>
      <x:c r="X83" s="167" t="n">
        <x:f>IF(COUNTA(A83:B83,D83:G83,I83,K83,M83,Q83,AB83:AD83)=0,0,IF(OR(Listas!$B$19="Todos",B83=Listas!$B$19,COUNTIFS(Produtos!$A$5:$A$204,B83)&lt;&gt;1),1,0))</x:f>
        <x:v>0</x:v>
      </x:c>
      <x:c r="Y83" s="167" t="str">
        <x:f>IF(X83=0,"",IF(Listas!$B$13&lt;&gt;"OK","Revisar parâmetros",IF(U83&gt;0,IF(S83&lt;&gt;"",S83,IF(T83&gt;0,"Revisar movimentos",IF(AND(ISNUMBER(J83),J83&lt;0),"Saldo negativo","Status esgotado com saldo"))),IF(AG83&lt;&gt;"",AG83&amp;". ","")&amp;IF(J83&lt;=0,"",IF(N83="VENCIDO","Validade vencida. ","")&amp;IF(M83="Quarentena","Em quarentena. ","")&amp;IF(M83="Bloqueado","Lote bloqueado. ","")&amp;IF(N83="CRÍTICO","Validade crítica. ","")&amp;IF(N83="VENCE NA JANELA","Vence na janela. ","")))))</x:f>
      </x:c>
      <x:c r="Z83" s="167" t="n">
        <x:f>IF(OR(X83=0,Y83=""),0,IF(OR(Listas!$B$13&lt;&gt;"OK",U83&gt;0,AH83&gt;0),1,IF(N83="VENCIDO",2,IF(OR(M83="Quarentena",M83="Bloqueado"),3,IF(N83="CRÍTICO",4,5)))))</x:f>
        <x:v>0</x:v>
      </x:c>
      <x:c r="AA83" s="167" t="n">
        <x:f>IF(Z83=0,0,COUNTIFS($Z$5:$Z$204,"&gt;0",$Z$5:$Z$204,"&lt;"&amp;Z83,$X$5:$X$204,1)+COUNTIFS($Z$5:Z83,Z83,$X$5:X83,1))</x:f>
        <x:v>0</x:v>
      </x:c>
      <x:c r="AB83" s="168"/>
      <x:c r="AC83" s="168"/>
      <x:c r="AD83" s="169"/>
      <x:c r="AE83" s="167" t="str">
        <x:f>IF(X83=0,"",IF(OR(U83&gt;0,Listas!$B$13&lt;&gt;"OK"),"Dados pendentes",IF(J83&lt;=0,"Sem saldo",IF(N83="VENCIDO","Vencidos",IF(OR(M83="Quarentena",M83="Bloqueado"),"Restritos vigentes",IF(OR(N83="CRÍTICO",N83="VENCE NA JANELA"),"Liberados na janela","Demais liberados"))))))</x:f>
      </x:c>
      <x:c r="AF83" s="167" t="str">
        <x:f>IF(A83&lt;&gt;"",A83,IF(U83&gt;0,"Sem ID (linha "&amp;ROW()&amp;")",""))</x:f>
      </x:c>
      <x:c r="AG83" s="167" t="str">
        <x:f>IF(AD83="","",IF(OR(NOT(ISNUMBER(AD83)),AD83&lt;=0),"Prazo da ação inválido",""))</x:f>
      </x:c>
      <x:c r="AH83" s="167" t="n">
        <x:f>IF(AG83="",0,1)</x:f>
        <x:v>0</x:v>
      </x:c>
    </x:row>
    <x:row r="84" ht="32" customHeight="1">
      <x:c r="A84" s="27"/>
      <x:c r="B84" s="27"/>
      <x:c r="C84" s="40" t="str">
        <x:f>IF($B84="","",IFERROR(INDEX(Produtos!$B$5:$B$204,MATCH($B84,Produtos!$A$5:$A$204,0)),""))</x:f>
      </x:c>
      <x:c r="D84" s="170"/>
      <x:c r="E84" s="179"/>
      <x:c r="F84" s="179"/>
      <x:c r="G84" s="179"/>
      <x:c r="H84" s="40" t="str">
        <x:f>IF(A84="","",IF(OR(S84&lt;&gt;"",Listas!$B$13&lt;&gt;"OK"),"n.a.",G84-Listas!$B$6))</x:f>
      </x:c>
      <x:c r="I84" s="40"/>
      <x:c r="J84" s="40" t="str">
        <x:f>IF(A84="","",IF(OR(S84&lt;&gt;"",T84&gt;0,Listas!$B$13&lt;&gt;"OK"),"n.a.",SUMIFS(Movimentacoes!$H$5:$H$304,Movimentacoes!$D$5:$D$304,A84,Movimentacoes!$B$5:$B$304,"&lt;="&amp;Listas!$B$6)))</x:f>
      </x:c>
      <x:c r="K84" s="180"/>
      <x:c r="L84" s="181" t="str">
        <x:f>IF(A84="","",IF(OR(U84&gt;0,Listas!$B$13&lt;&gt;"OK"),"n.a.",J84*K84))</x:f>
      </x:c>
      <x:c r="M84" s="27"/>
      <x:c r="N84" s="40" t="str">
        <x:f>IF(A84="","",IF(OR(U84&gt;0,Listas!$B$13&lt;&gt;"OK"),"REVISAR DADOS",IF(J84=0,"SEM SALDO",IF(G84&lt;Listas!$B$6,"VENCIDO",IF(H84&lt;=Listas!$B$7,"CRÍTICO",IF(H84&lt;=Listas!$B$8,"VENCE NA JANELA","OK"))))))</x:f>
      </x:c>
      <x:c r="O84" s="41" t="str">
        <x:f>IF(A84="","",IF(AND(ISNUMBER(V84),V84&gt;0),G84,""))</x:f>
      </x:c>
      <x:c r="P84" s="40" t="str">
        <x:f>IF(A84="","",IF(OR(U84&gt;0,Listas!$B$13&lt;&gt;"OK"),"REVISAR DADOS",IF(J84=0,"ARQUIVAR LOTE",IF(M84="Quarentena","DECIDIR LIBERAÇÃO",IF(M84="Bloqueado","SEGREGAR E INVESTIGAR",IF(M84="Esgotado","REVISAR STATUS COM SALDO",IF(N84="VENCIDO","SEGREGAR E AVALIAR DESTINAÇÃO",IF(OR(N84="CRÍTICO",N84="VENCE NA JANELA"),"PRIORIZAR FEFO","MANTER ROTAÇÃO"))))))))</x:f>
      </x:c>
      <x:c r="Q84" s="27"/>
      <x:c r="R84" s="181" t="str">
        <x:f>IF(A84="","",IF(OR(U84&gt;0,Listas!$B$13&lt;&gt;"OK"),"n.a.",IF(OR(N84="VENCIDO",N84="CRÍTICO",N84="VENCE NA JANELA",M84="Quarentena",M84="Bloqueado"),L84,0)))</x:f>
      </x:c>
      <x:c r="S84" s="163" t="str">
        <x:f>IF(COUNTA(A84:B84,D84:G84,I84,K84,M84,Q84,AB84:AD84)=0,"",IF(OR(A84="",COUNTIFS($A$5:$A$204,A84)&lt;&gt;1),"Lote ausente ou duplicado",IF(OR(B84="",COUNTIFS(Produtos!$A$5:$A$204,B84)&lt;&gt;1),"SKU ausente ou desconhecido",IF(COUNTIFS(Produtos!$A$5:$A$204,B84,Produtos!$R$5:$R$204,1)&gt;0,"Revisar cadastro do produto",IF(OR(NOT(ISNUMBER(E84)),E84&lt;=0,NOT(ISNUMBER(G84)),G84&lt;=0,G84&lt;E84),"Recebimento ou validade inválida",IF(AND(F84&lt;&gt;"",OR(NOT(ISNUMBER(F84)),F84&lt;=0,F84&gt;E84)),"Fabricação inválida ou posterior ao recebimento",IF(OR(NOT(ISNUMBER(K84)),K84&lt;0,NOT(ISNUMBER(I84)),I84&lt;0),"Quantidade recebida ou custo inválido",IF(AND(M84&lt;&gt;"Liberado",M84&lt;&gt;"Quarentena",M84&lt;&gt;"Bloqueado",M84&lt;&gt;"Esgotado"),"Status de lote inválido",""))))))))</x:f>
      </x:c>
      <x:c r="T84" s="163" t="n">
        <x:f>IF(A84="",0,COUNTIFS(Movimentacoes!$D$5:$D$304,A84,Movimentacoes!$P$5:$P$304,1))</x:f>
        <x:v>0</x:v>
      </x:c>
      <x:c r="U84" s="163" t="n">
        <x:f>IF(COUNTA(A84:B84,D84:G84,I84,K84,M84,Q84,AB84:AD84)=0,0,IF(OR(S84&lt;&gt;"",T84&gt;0),1,IF(ISNUMBER(J84),IF(OR(J84&lt;0,AND(J84&gt;0,M84="Esgotado")),1,0),0)))</x:f>
        <x:v>0</x:v>
      </x:c>
      <x:c r="V84" s="163" t="str">
        <x:f>IF(A84="","",IF(OR(U84&gt;0,Listas!$B$13&lt;&gt;"OK"),"n.a.",IF(AND(J84&gt;0,M84="Liberado",G84&gt;=Listas!$B$6),J84,0)))</x:f>
      </x:c>
      <x:c r="W84" s="163" t="str">
        <x:f>IF(A84="","",IF(OR(U84&gt;0,Listas!$B$13&lt;&gt;"OK"),"n.a.",V84*K84))</x:f>
      </x:c>
      <x:c r="X84" s="167" t="n">
        <x:f>IF(COUNTA(A84:B84,D84:G84,I84,K84,M84,Q84,AB84:AD84)=0,0,IF(OR(Listas!$B$19="Todos",B84=Listas!$B$19,COUNTIFS(Produtos!$A$5:$A$204,B84)&lt;&gt;1),1,0))</x:f>
        <x:v>0</x:v>
      </x:c>
      <x:c r="Y84" s="167" t="str">
        <x:f>IF(X84=0,"",IF(Listas!$B$13&lt;&gt;"OK","Revisar parâmetros",IF(U84&gt;0,IF(S84&lt;&gt;"",S84,IF(T84&gt;0,"Revisar movimentos",IF(AND(ISNUMBER(J84),J84&lt;0),"Saldo negativo","Status esgotado com saldo"))),IF(AG84&lt;&gt;"",AG84&amp;". ","")&amp;IF(J84&lt;=0,"",IF(N84="VENCIDO","Validade vencida. ","")&amp;IF(M84="Quarentena","Em quarentena. ","")&amp;IF(M84="Bloqueado","Lote bloqueado. ","")&amp;IF(N84="CRÍTICO","Validade crítica. ","")&amp;IF(N84="VENCE NA JANELA","Vence na janela. ","")))))</x:f>
      </x:c>
      <x:c r="Z84" s="167" t="n">
        <x:f>IF(OR(X84=0,Y84=""),0,IF(OR(Listas!$B$13&lt;&gt;"OK",U84&gt;0,AH84&gt;0),1,IF(N84="VENCIDO",2,IF(OR(M84="Quarentena",M84="Bloqueado"),3,IF(N84="CRÍTICO",4,5)))))</x:f>
        <x:v>0</x:v>
      </x:c>
      <x:c r="AA84" s="167" t="n">
        <x:f>IF(Z84=0,0,COUNTIFS($Z$5:$Z$204,"&gt;0",$Z$5:$Z$204,"&lt;"&amp;Z84,$X$5:$X$204,1)+COUNTIFS($Z$5:Z84,Z84,$X$5:X84,1))</x:f>
        <x:v>0</x:v>
      </x:c>
      <x:c r="AB84" s="168"/>
      <x:c r="AC84" s="168"/>
      <x:c r="AD84" s="169"/>
      <x:c r="AE84" s="167" t="str">
        <x:f>IF(X84=0,"",IF(OR(U84&gt;0,Listas!$B$13&lt;&gt;"OK"),"Dados pendentes",IF(J84&lt;=0,"Sem saldo",IF(N84="VENCIDO","Vencidos",IF(OR(M84="Quarentena",M84="Bloqueado"),"Restritos vigentes",IF(OR(N84="CRÍTICO",N84="VENCE NA JANELA"),"Liberados na janela","Demais liberados"))))))</x:f>
      </x:c>
      <x:c r="AF84" s="167" t="str">
        <x:f>IF(A84&lt;&gt;"",A84,IF(U84&gt;0,"Sem ID (linha "&amp;ROW()&amp;")",""))</x:f>
      </x:c>
      <x:c r="AG84" s="167" t="str">
        <x:f>IF(AD84="","",IF(OR(NOT(ISNUMBER(AD84)),AD84&lt;=0),"Prazo da ação inválido",""))</x:f>
      </x:c>
      <x:c r="AH84" s="167" t="n">
        <x:f>IF(AG84="",0,1)</x:f>
        <x:v>0</x:v>
      </x:c>
    </x:row>
    <x:row r="85" ht="32" customHeight="1">
      <x:c r="A85" s="27"/>
      <x:c r="B85" s="27"/>
      <x:c r="C85" s="40" t="str">
        <x:f>IF($B85="","",IFERROR(INDEX(Produtos!$B$5:$B$204,MATCH($B85,Produtos!$A$5:$A$204,0)),""))</x:f>
      </x:c>
      <x:c r="D85" s="170"/>
      <x:c r="E85" s="179"/>
      <x:c r="F85" s="179"/>
      <x:c r="G85" s="179"/>
      <x:c r="H85" s="40" t="str">
        <x:f>IF(A85="","",IF(OR(S85&lt;&gt;"",Listas!$B$13&lt;&gt;"OK"),"n.a.",G85-Listas!$B$6))</x:f>
      </x:c>
      <x:c r="I85" s="40"/>
      <x:c r="J85" s="40" t="str">
        <x:f>IF(A85="","",IF(OR(S85&lt;&gt;"",T85&gt;0,Listas!$B$13&lt;&gt;"OK"),"n.a.",SUMIFS(Movimentacoes!$H$5:$H$304,Movimentacoes!$D$5:$D$304,A85,Movimentacoes!$B$5:$B$304,"&lt;="&amp;Listas!$B$6)))</x:f>
      </x:c>
      <x:c r="K85" s="180"/>
      <x:c r="L85" s="181" t="str">
        <x:f>IF(A85="","",IF(OR(U85&gt;0,Listas!$B$13&lt;&gt;"OK"),"n.a.",J85*K85))</x:f>
      </x:c>
      <x:c r="M85" s="27"/>
      <x:c r="N85" s="40" t="str">
        <x:f>IF(A85="","",IF(OR(U85&gt;0,Listas!$B$13&lt;&gt;"OK"),"REVISAR DADOS",IF(J85=0,"SEM SALDO",IF(G85&lt;Listas!$B$6,"VENCIDO",IF(H85&lt;=Listas!$B$7,"CRÍTICO",IF(H85&lt;=Listas!$B$8,"VENCE NA JANELA","OK"))))))</x:f>
      </x:c>
      <x:c r="O85" s="41" t="str">
        <x:f>IF(A85="","",IF(AND(ISNUMBER(V85),V85&gt;0),G85,""))</x:f>
      </x:c>
      <x:c r="P85" s="40" t="str">
        <x:f>IF(A85="","",IF(OR(U85&gt;0,Listas!$B$13&lt;&gt;"OK"),"REVISAR DADOS",IF(J85=0,"ARQUIVAR LOTE",IF(M85="Quarentena","DECIDIR LIBERAÇÃO",IF(M85="Bloqueado","SEGREGAR E INVESTIGAR",IF(M85="Esgotado","REVISAR STATUS COM SALDO",IF(N85="VENCIDO","SEGREGAR E AVALIAR DESTINAÇÃO",IF(OR(N85="CRÍTICO",N85="VENCE NA JANELA"),"PRIORIZAR FEFO","MANTER ROTAÇÃO"))))))))</x:f>
      </x:c>
      <x:c r="Q85" s="27"/>
      <x:c r="R85" s="181" t="str">
        <x:f>IF(A85="","",IF(OR(U85&gt;0,Listas!$B$13&lt;&gt;"OK"),"n.a.",IF(OR(N85="VENCIDO",N85="CRÍTICO",N85="VENCE NA JANELA",M85="Quarentena",M85="Bloqueado"),L85,0)))</x:f>
      </x:c>
      <x:c r="S85" s="163" t="str">
        <x:f>IF(COUNTA(A85:B85,D85:G85,I85,K85,M85,Q85,AB85:AD85)=0,"",IF(OR(A85="",COUNTIFS($A$5:$A$204,A85)&lt;&gt;1),"Lote ausente ou duplicado",IF(OR(B85="",COUNTIFS(Produtos!$A$5:$A$204,B85)&lt;&gt;1),"SKU ausente ou desconhecido",IF(COUNTIFS(Produtos!$A$5:$A$204,B85,Produtos!$R$5:$R$204,1)&gt;0,"Revisar cadastro do produto",IF(OR(NOT(ISNUMBER(E85)),E85&lt;=0,NOT(ISNUMBER(G85)),G85&lt;=0,G85&lt;E85),"Recebimento ou validade inválida",IF(AND(F85&lt;&gt;"",OR(NOT(ISNUMBER(F85)),F85&lt;=0,F85&gt;E85)),"Fabricação inválida ou posterior ao recebimento",IF(OR(NOT(ISNUMBER(K85)),K85&lt;0,NOT(ISNUMBER(I85)),I85&lt;0),"Quantidade recebida ou custo inválido",IF(AND(M85&lt;&gt;"Liberado",M85&lt;&gt;"Quarentena",M85&lt;&gt;"Bloqueado",M85&lt;&gt;"Esgotado"),"Status de lote inválido",""))))))))</x:f>
      </x:c>
      <x:c r="T85" s="163" t="n">
        <x:f>IF(A85="",0,COUNTIFS(Movimentacoes!$D$5:$D$304,A85,Movimentacoes!$P$5:$P$304,1))</x:f>
        <x:v>0</x:v>
      </x:c>
      <x:c r="U85" s="163" t="n">
        <x:f>IF(COUNTA(A85:B85,D85:G85,I85,K85,M85,Q85,AB85:AD85)=0,0,IF(OR(S85&lt;&gt;"",T85&gt;0),1,IF(ISNUMBER(J85),IF(OR(J85&lt;0,AND(J85&gt;0,M85="Esgotado")),1,0),0)))</x:f>
        <x:v>0</x:v>
      </x:c>
      <x:c r="V85" s="163" t="str">
        <x:f>IF(A85="","",IF(OR(U85&gt;0,Listas!$B$13&lt;&gt;"OK"),"n.a.",IF(AND(J85&gt;0,M85="Liberado",G85&gt;=Listas!$B$6),J85,0)))</x:f>
      </x:c>
      <x:c r="W85" s="163" t="str">
        <x:f>IF(A85="","",IF(OR(U85&gt;0,Listas!$B$13&lt;&gt;"OK"),"n.a.",V85*K85))</x:f>
      </x:c>
      <x:c r="X85" s="167" t="n">
        <x:f>IF(COUNTA(A85:B85,D85:G85,I85,K85,M85,Q85,AB85:AD85)=0,0,IF(OR(Listas!$B$19="Todos",B85=Listas!$B$19,COUNTIFS(Produtos!$A$5:$A$204,B85)&lt;&gt;1),1,0))</x:f>
        <x:v>0</x:v>
      </x:c>
      <x:c r="Y85" s="167" t="str">
        <x:f>IF(X85=0,"",IF(Listas!$B$13&lt;&gt;"OK","Revisar parâmetros",IF(U85&gt;0,IF(S85&lt;&gt;"",S85,IF(T85&gt;0,"Revisar movimentos",IF(AND(ISNUMBER(J85),J85&lt;0),"Saldo negativo","Status esgotado com saldo"))),IF(AG85&lt;&gt;"",AG85&amp;". ","")&amp;IF(J85&lt;=0,"",IF(N85="VENCIDO","Validade vencida. ","")&amp;IF(M85="Quarentena","Em quarentena. ","")&amp;IF(M85="Bloqueado","Lote bloqueado. ","")&amp;IF(N85="CRÍTICO","Validade crítica. ","")&amp;IF(N85="VENCE NA JANELA","Vence na janela. ","")))))</x:f>
      </x:c>
      <x:c r="Z85" s="167" t="n">
        <x:f>IF(OR(X85=0,Y85=""),0,IF(OR(Listas!$B$13&lt;&gt;"OK",U85&gt;0,AH85&gt;0),1,IF(N85="VENCIDO",2,IF(OR(M85="Quarentena",M85="Bloqueado"),3,IF(N85="CRÍTICO",4,5)))))</x:f>
        <x:v>0</x:v>
      </x:c>
      <x:c r="AA85" s="167" t="n">
        <x:f>IF(Z85=0,0,COUNTIFS($Z$5:$Z$204,"&gt;0",$Z$5:$Z$204,"&lt;"&amp;Z85,$X$5:$X$204,1)+COUNTIFS($Z$5:Z85,Z85,$X$5:X85,1))</x:f>
        <x:v>0</x:v>
      </x:c>
      <x:c r="AB85" s="168"/>
      <x:c r="AC85" s="168"/>
      <x:c r="AD85" s="169"/>
      <x:c r="AE85" s="167" t="str">
        <x:f>IF(X85=0,"",IF(OR(U85&gt;0,Listas!$B$13&lt;&gt;"OK"),"Dados pendentes",IF(J85&lt;=0,"Sem saldo",IF(N85="VENCIDO","Vencidos",IF(OR(M85="Quarentena",M85="Bloqueado"),"Restritos vigentes",IF(OR(N85="CRÍTICO",N85="VENCE NA JANELA"),"Liberados na janela","Demais liberados"))))))</x:f>
      </x:c>
      <x:c r="AF85" s="167" t="str">
        <x:f>IF(A85&lt;&gt;"",A85,IF(U85&gt;0,"Sem ID (linha "&amp;ROW()&amp;")",""))</x:f>
      </x:c>
      <x:c r="AG85" s="167" t="str">
        <x:f>IF(AD85="","",IF(OR(NOT(ISNUMBER(AD85)),AD85&lt;=0),"Prazo da ação inválido",""))</x:f>
      </x:c>
      <x:c r="AH85" s="167" t="n">
        <x:f>IF(AG85="",0,1)</x:f>
        <x:v>0</x:v>
      </x:c>
    </x:row>
    <x:row r="86" ht="32" customHeight="1">
      <x:c r="A86" s="27"/>
      <x:c r="B86" s="27"/>
      <x:c r="C86" s="40" t="str">
        <x:f>IF($B86="","",IFERROR(INDEX(Produtos!$B$5:$B$204,MATCH($B86,Produtos!$A$5:$A$204,0)),""))</x:f>
      </x:c>
      <x:c r="D86" s="170"/>
      <x:c r="E86" s="179"/>
      <x:c r="F86" s="179"/>
      <x:c r="G86" s="179"/>
      <x:c r="H86" s="40" t="str">
        <x:f>IF(A86="","",IF(OR(S86&lt;&gt;"",Listas!$B$13&lt;&gt;"OK"),"n.a.",G86-Listas!$B$6))</x:f>
      </x:c>
      <x:c r="I86" s="40"/>
      <x:c r="J86" s="40" t="str">
        <x:f>IF(A86="","",IF(OR(S86&lt;&gt;"",T86&gt;0,Listas!$B$13&lt;&gt;"OK"),"n.a.",SUMIFS(Movimentacoes!$H$5:$H$304,Movimentacoes!$D$5:$D$304,A86,Movimentacoes!$B$5:$B$304,"&lt;="&amp;Listas!$B$6)))</x:f>
      </x:c>
      <x:c r="K86" s="180"/>
      <x:c r="L86" s="181" t="str">
        <x:f>IF(A86="","",IF(OR(U86&gt;0,Listas!$B$13&lt;&gt;"OK"),"n.a.",J86*K86))</x:f>
      </x:c>
      <x:c r="M86" s="27"/>
      <x:c r="N86" s="40" t="str">
        <x:f>IF(A86="","",IF(OR(U86&gt;0,Listas!$B$13&lt;&gt;"OK"),"REVISAR DADOS",IF(J86=0,"SEM SALDO",IF(G86&lt;Listas!$B$6,"VENCIDO",IF(H86&lt;=Listas!$B$7,"CRÍTICO",IF(H86&lt;=Listas!$B$8,"VENCE NA JANELA","OK"))))))</x:f>
      </x:c>
      <x:c r="O86" s="41" t="str">
        <x:f>IF(A86="","",IF(AND(ISNUMBER(V86),V86&gt;0),G86,""))</x:f>
      </x:c>
      <x:c r="P86" s="40" t="str">
        <x:f>IF(A86="","",IF(OR(U86&gt;0,Listas!$B$13&lt;&gt;"OK"),"REVISAR DADOS",IF(J86=0,"ARQUIVAR LOTE",IF(M86="Quarentena","DECIDIR LIBERAÇÃO",IF(M86="Bloqueado","SEGREGAR E INVESTIGAR",IF(M86="Esgotado","REVISAR STATUS COM SALDO",IF(N86="VENCIDO","SEGREGAR E AVALIAR DESTINAÇÃO",IF(OR(N86="CRÍTICO",N86="VENCE NA JANELA"),"PRIORIZAR FEFO","MANTER ROTAÇÃO"))))))))</x:f>
      </x:c>
      <x:c r="Q86" s="27"/>
      <x:c r="R86" s="181" t="str">
        <x:f>IF(A86="","",IF(OR(U86&gt;0,Listas!$B$13&lt;&gt;"OK"),"n.a.",IF(OR(N86="VENCIDO",N86="CRÍTICO",N86="VENCE NA JANELA",M86="Quarentena",M86="Bloqueado"),L86,0)))</x:f>
      </x:c>
      <x:c r="S86" s="163" t="str">
        <x:f>IF(COUNTA(A86:B86,D86:G86,I86,K86,M86,Q86,AB86:AD86)=0,"",IF(OR(A86="",COUNTIFS($A$5:$A$204,A86)&lt;&gt;1),"Lote ausente ou duplicado",IF(OR(B86="",COUNTIFS(Produtos!$A$5:$A$204,B86)&lt;&gt;1),"SKU ausente ou desconhecido",IF(COUNTIFS(Produtos!$A$5:$A$204,B86,Produtos!$R$5:$R$204,1)&gt;0,"Revisar cadastro do produto",IF(OR(NOT(ISNUMBER(E86)),E86&lt;=0,NOT(ISNUMBER(G86)),G86&lt;=0,G86&lt;E86),"Recebimento ou validade inválida",IF(AND(F86&lt;&gt;"",OR(NOT(ISNUMBER(F86)),F86&lt;=0,F86&gt;E86)),"Fabricação inválida ou posterior ao recebimento",IF(OR(NOT(ISNUMBER(K86)),K86&lt;0,NOT(ISNUMBER(I86)),I86&lt;0),"Quantidade recebida ou custo inválido",IF(AND(M86&lt;&gt;"Liberado",M86&lt;&gt;"Quarentena",M86&lt;&gt;"Bloqueado",M86&lt;&gt;"Esgotado"),"Status de lote inválido",""))))))))</x:f>
      </x:c>
      <x:c r="T86" s="163" t="n">
        <x:f>IF(A86="",0,COUNTIFS(Movimentacoes!$D$5:$D$304,A86,Movimentacoes!$P$5:$P$304,1))</x:f>
        <x:v>0</x:v>
      </x:c>
      <x:c r="U86" s="163" t="n">
        <x:f>IF(COUNTA(A86:B86,D86:G86,I86,K86,M86,Q86,AB86:AD86)=0,0,IF(OR(S86&lt;&gt;"",T86&gt;0),1,IF(ISNUMBER(J86),IF(OR(J86&lt;0,AND(J86&gt;0,M86="Esgotado")),1,0),0)))</x:f>
        <x:v>0</x:v>
      </x:c>
      <x:c r="V86" s="163" t="str">
        <x:f>IF(A86="","",IF(OR(U86&gt;0,Listas!$B$13&lt;&gt;"OK"),"n.a.",IF(AND(J86&gt;0,M86="Liberado",G86&gt;=Listas!$B$6),J86,0)))</x:f>
      </x:c>
      <x:c r="W86" s="163" t="str">
        <x:f>IF(A86="","",IF(OR(U86&gt;0,Listas!$B$13&lt;&gt;"OK"),"n.a.",V86*K86))</x:f>
      </x:c>
      <x:c r="X86" s="167" t="n">
        <x:f>IF(COUNTA(A86:B86,D86:G86,I86,K86,M86,Q86,AB86:AD86)=0,0,IF(OR(Listas!$B$19="Todos",B86=Listas!$B$19,COUNTIFS(Produtos!$A$5:$A$204,B86)&lt;&gt;1),1,0))</x:f>
        <x:v>0</x:v>
      </x:c>
      <x:c r="Y86" s="167" t="str">
        <x:f>IF(X86=0,"",IF(Listas!$B$13&lt;&gt;"OK","Revisar parâmetros",IF(U86&gt;0,IF(S86&lt;&gt;"",S86,IF(T86&gt;0,"Revisar movimentos",IF(AND(ISNUMBER(J86),J86&lt;0),"Saldo negativo","Status esgotado com saldo"))),IF(AG86&lt;&gt;"",AG86&amp;". ","")&amp;IF(J86&lt;=0,"",IF(N86="VENCIDO","Validade vencida. ","")&amp;IF(M86="Quarentena","Em quarentena. ","")&amp;IF(M86="Bloqueado","Lote bloqueado. ","")&amp;IF(N86="CRÍTICO","Validade crítica. ","")&amp;IF(N86="VENCE NA JANELA","Vence na janela. ","")))))</x:f>
      </x:c>
      <x:c r="Z86" s="167" t="n">
        <x:f>IF(OR(X86=0,Y86=""),0,IF(OR(Listas!$B$13&lt;&gt;"OK",U86&gt;0,AH86&gt;0),1,IF(N86="VENCIDO",2,IF(OR(M86="Quarentena",M86="Bloqueado"),3,IF(N86="CRÍTICO",4,5)))))</x:f>
        <x:v>0</x:v>
      </x:c>
      <x:c r="AA86" s="167" t="n">
        <x:f>IF(Z86=0,0,COUNTIFS($Z$5:$Z$204,"&gt;0",$Z$5:$Z$204,"&lt;"&amp;Z86,$X$5:$X$204,1)+COUNTIFS($Z$5:Z86,Z86,$X$5:X86,1))</x:f>
        <x:v>0</x:v>
      </x:c>
      <x:c r="AB86" s="168"/>
      <x:c r="AC86" s="168"/>
      <x:c r="AD86" s="169"/>
      <x:c r="AE86" s="167" t="str">
        <x:f>IF(X86=0,"",IF(OR(U86&gt;0,Listas!$B$13&lt;&gt;"OK"),"Dados pendentes",IF(J86&lt;=0,"Sem saldo",IF(N86="VENCIDO","Vencidos",IF(OR(M86="Quarentena",M86="Bloqueado"),"Restritos vigentes",IF(OR(N86="CRÍTICO",N86="VENCE NA JANELA"),"Liberados na janela","Demais liberados"))))))</x:f>
      </x:c>
      <x:c r="AF86" s="167" t="str">
        <x:f>IF(A86&lt;&gt;"",A86,IF(U86&gt;0,"Sem ID (linha "&amp;ROW()&amp;")",""))</x:f>
      </x:c>
      <x:c r="AG86" s="167" t="str">
        <x:f>IF(AD86="","",IF(OR(NOT(ISNUMBER(AD86)),AD86&lt;=0),"Prazo da ação inválido",""))</x:f>
      </x:c>
      <x:c r="AH86" s="167" t="n">
        <x:f>IF(AG86="",0,1)</x:f>
        <x:v>0</x:v>
      </x:c>
    </x:row>
    <x:row r="87" ht="32" customHeight="1">
      <x:c r="A87" s="27"/>
      <x:c r="B87" s="27"/>
      <x:c r="C87" s="40" t="str">
        <x:f>IF($B87="","",IFERROR(INDEX(Produtos!$B$5:$B$204,MATCH($B87,Produtos!$A$5:$A$204,0)),""))</x:f>
      </x:c>
      <x:c r="D87" s="170"/>
      <x:c r="E87" s="179"/>
      <x:c r="F87" s="179"/>
      <x:c r="G87" s="179"/>
      <x:c r="H87" s="40" t="str">
        <x:f>IF(A87="","",IF(OR(S87&lt;&gt;"",Listas!$B$13&lt;&gt;"OK"),"n.a.",G87-Listas!$B$6))</x:f>
      </x:c>
      <x:c r="I87" s="40"/>
      <x:c r="J87" s="40" t="str">
        <x:f>IF(A87="","",IF(OR(S87&lt;&gt;"",T87&gt;0,Listas!$B$13&lt;&gt;"OK"),"n.a.",SUMIFS(Movimentacoes!$H$5:$H$304,Movimentacoes!$D$5:$D$304,A87,Movimentacoes!$B$5:$B$304,"&lt;="&amp;Listas!$B$6)))</x:f>
      </x:c>
      <x:c r="K87" s="180"/>
      <x:c r="L87" s="181" t="str">
        <x:f>IF(A87="","",IF(OR(U87&gt;0,Listas!$B$13&lt;&gt;"OK"),"n.a.",J87*K87))</x:f>
      </x:c>
      <x:c r="M87" s="27"/>
      <x:c r="N87" s="40" t="str">
        <x:f>IF(A87="","",IF(OR(U87&gt;0,Listas!$B$13&lt;&gt;"OK"),"REVISAR DADOS",IF(J87=0,"SEM SALDO",IF(G87&lt;Listas!$B$6,"VENCIDO",IF(H87&lt;=Listas!$B$7,"CRÍTICO",IF(H87&lt;=Listas!$B$8,"VENCE NA JANELA","OK"))))))</x:f>
      </x:c>
      <x:c r="O87" s="41" t="str">
        <x:f>IF(A87="","",IF(AND(ISNUMBER(V87),V87&gt;0),G87,""))</x:f>
      </x:c>
      <x:c r="P87" s="40" t="str">
        <x:f>IF(A87="","",IF(OR(U87&gt;0,Listas!$B$13&lt;&gt;"OK"),"REVISAR DADOS",IF(J87=0,"ARQUIVAR LOTE",IF(M87="Quarentena","DECIDIR LIBERAÇÃO",IF(M87="Bloqueado","SEGREGAR E INVESTIGAR",IF(M87="Esgotado","REVISAR STATUS COM SALDO",IF(N87="VENCIDO","SEGREGAR E AVALIAR DESTINAÇÃO",IF(OR(N87="CRÍTICO",N87="VENCE NA JANELA"),"PRIORIZAR FEFO","MANTER ROTAÇÃO"))))))))</x:f>
      </x:c>
      <x:c r="Q87" s="27"/>
      <x:c r="R87" s="181" t="str">
        <x:f>IF(A87="","",IF(OR(U87&gt;0,Listas!$B$13&lt;&gt;"OK"),"n.a.",IF(OR(N87="VENCIDO",N87="CRÍTICO",N87="VENCE NA JANELA",M87="Quarentena",M87="Bloqueado"),L87,0)))</x:f>
      </x:c>
      <x:c r="S87" s="163" t="str">
        <x:f>IF(COUNTA(A87:B87,D87:G87,I87,K87,M87,Q87,AB87:AD87)=0,"",IF(OR(A87="",COUNTIFS($A$5:$A$204,A87)&lt;&gt;1),"Lote ausente ou duplicado",IF(OR(B87="",COUNTIFS(Produtos!$A$5:$A$204,B87)&lt;&gt;1),"SKU ausente ou desconhecido",IF(COUNTIFS(Produtos!$A$5:$A$204,B87,Produtos!$R$5:$R$204,1)&gt;0,"Revisar cadastro do produto",IF(OR(NOT(ISNUMBER(E87)),E87&lt;=0,NOT(ISNUMBER(G87)),G87&lt;=0,G87&lt;E87),"Recebimento ou validade inválida",IF(AND(F87&lt;&gt;"",OR(NOT(ISNUMBER(F87)),F87&lt;=0,F87&gt;E87)),"Fabricação inválida ou posterior ao recebimento",IF(OR(NOT(ISNUMBER(K87)),K87&lt;0,NOT(ISNUMBER(I87)),I87&lt;0),"Quantidade recebida ou custo inválido",IF(AND(M87&lt;&gt;"Liberado",M87&lt;&gt;"Quarentena",M87&lt;&gt;"Bloqueado",M87&lt;&gt;"Esgotado"),"Status de lote inválido",""))))))))</x:f>
      </x:c>
      <x:c r="T87" s="163" t="n">
        <x:f>IF(A87="",0,COUNTIFS(Movimentacoes!$D$5:$D$304,A87,Movimentacoes!$P$5:$P$304,1))</x:f>
        <x:v>0</x:v>
      </x:c>
      <x:c r="U87" s="163" t="n">
        <x:f>IF(COUNTA(A87:B87,D87:G87,I87,K87,M87,Q87,AB87:AD87)=0,0,IF(OR(S87&lt;&gt;"",T87&gt;0),1,IF(ISNUMBER(J87),IF(OR(J87&lt;0,AND(J87&gt;0,M87="Esgotado")),1,0),0)))</x:f>
        <x:v>0</x:v>
      </x:c>
      <x:c r="V87" s="163" t="str">
        <x:f>IF(A87="","",IF(OR(U87&gt;0,Listas!$B$13&lt;&gt;"OK"),"n.a.",IF(AND(J87&gt;0,M87="Liberado",G87&gt;=Listas!$B$6),J87,0)))</x:f>
      </x:c>
      <x:c r="W87" s="163" t="str">
        <x:f>IF(A87="","",IF(OR(U87&gt;0,Listas!$B$13&lt;&gt;"OK"),"n.a.",V87*K87))</x:f>
      </x:c>
      <x:c r="X87" s="167" t="n">
        <x:f>IF(COUNTA(A87:B87,D87:G87,I87,K87,M87,Q87,AB87:AD87)=0,0,IF(OR(Listas!$B$19="Todos",B87=Listas!$B$19,COUNTIFS(Produtos!$A$5:$A$204,B87)&lt;&gt;1),1,0))</x:f>
        <x:v>0</x:v>
      </x:c>
      <x:c r="Y87" s="167" t="str">
        <x:f>IF(X87=0,"",IF(Listas!$B$13&lt;&gt;"OK","Revisar parâmetros",IF(U87&gt;0,IF(S87&lt;&gt;"",S87,IF(T87&gt;0,"Revisar movimentos",IF(AND(ISNUMBER(J87),J87&lt;0),"Saldo negativo","Status esgotado com saldo"))),IF(AG87&lt;&gt;"",AG87&amp;". ","")&amp;IF(J87&lt;=0,"",IF(N87="VENCIDO","Validade vencida. ","")&amp;IF(M87="Quarentena","Em quarentena. ","")&amp;IF(M87="Bloqueado","Lote bloqueado. ","")&amp;IF(N87="CRÍTICO","Validade crítica. ","")&amp;IF(N87="VENCE NA JANELA","Vence na janela. ","")))))</x:f>
      </x:c>
      <x:c r="Z87" s="167" t="n">
        <x:f>IF(OR(X87=0,Y87=""),0,IF(OR(Listas!$B$13&lt;&gt;"OK",U87&gt;0,AH87&gt;0),1,IF(N87="VENCIDO",2,IF(OR(M87="Quarentena",M87="Bloqueado"),3,IF(N87="CRÍTICO",4,5)))))</x:f>
        <x:v>0</x:v>
      </x:c>
      <x:c r="AA87" s="167" t="n">
        <x:f>IF(Z87=0,0,COUNTIFS($Z$5:$Z$204,"&gt;0",$Z$5:$Z$204,"&lt;"&amp;Z87,$X$5:$X$204,1)+COUNTIFS($Z$5:Z87,Z87,$X$5:X87,1))</x:f>
        <x:v>0</x:v>
      </x:c>
      <x:c r="AB87" s="168"/>
      <x:c r="AC87" s="168"/>
      <x:c r="AD87" s="169"/>
      <x:c r="AE87" s="167" t="str">
        <x:f>IF(X87=0,"",IF(OR(U87&gt;0,Listas!$B$13&lt;&gt;"OK"),"Dados pendentes",IF(J87&lt;=0,"Sem saldo",IF(N87="VENCIDO","Vencidos",IF(OR(M87="Quarentena",M87="Bloqueado"),"Restritos vigentes",IF(OR(N87="CRÍTICO",N87="VENCE NA JANELA"),"Liberados na janela","Demais liberados"))))))</x:f>
      </x:c>
      <x:c r="AF87" s="167" t="str">
        <x:f>IF(A87&lt;&gt;"",A87,IF(U87&gt;0,"Sem ID (linha "&amp;ROW()&amp;")",""))</x:f>
      </x:c>
      <x:c r="AG87" s="167" t="str">
        <x:f>IF(AD87="","",IF(OR(NOT(ISNUMBER(AD87)),AD87&lt;=0),"Prazo da ação inválido",""))</x:f>
      </x:c>
      <x:c r="AH87" s="167" t="n">
        <x:f>IF(AG87="",0,1)</x:f>
        <x:v>0</x:v>
      </x:c>
    </x:row>
    <x:row r="88" ht="32" customHeight="1">
      <x:c r="A88" s="27"/>
      <x:c r="B88" s="27"/>
      <x:c r="C88" s="40" t="str">
        <x:f>IF($B88="","",IFERROR(INDEX(Produtos!$B$5:$B$204,MATCH($B88,Produtos!$A$5:$A$204,0)),""))</x:f>
      </x:c>
      <x:c r="D88" s="170"/>
      <x:c r="E88" s="179"/>
      <x:c r="F88" s="179"/>
      <x:c r="G88" s="179"/>
      <x:c r="H88" s="40" t="str">
        <x:f>IF(A88="","",IF(OR(S88&lt;&gt;"",Listas!$B$13&lt;&gt;"OK"),"n.a.",G88-Listas!$B$6))</x:f>
      </x:c>
      <x:c r="I88" s="40"/>
      <x:c r="J88" s="40" t="str">
        <x:f>IF(A88="","",IF(OR(S88&lt;&gt;"",T88&gt;0,Listas!$B$13&lt;&gt;"OK"),"n.a.",SUMIFS(Movimentacoes!$H$5:$H$304,Movimentacoes!$D$5:$D$304,A88,Movimentacoes!$B$5:$B$304,"&lt;="&amp;Listas!$B$6)))</x:f>
      </x:c>
      <x:c r="K88" s="180"/>
      <x:c r="L88" s="181" t="str">
        <x:f>IF(A88="","",IF(OR(U88&gt;0,Listas!$B$13&lt;&gt;"OK"),"n.a.",J88*K88))</x:f>
      </x:c>
      <x:c r="M88" s="27"/>
      <x:c r="N88" s="40" t="str">
        <x:f>IF(A88="","",IF(OR(U88&gt;0,Listas!$B$13&lt;&gt;"OK"),"REVISAR DADOS",IF(J88=0,"SEM SALDO",IF(G88&lt;Listas!$B$6,"VENCIDO",IF(H88&lt;=Listas!$B$7,"CRÍTICO",IF(H88&lt;=Listas!$B$8,"VENCE NA JANELA","OK"))))))</x:f>
      </x:c>
      <x:c r="O88" s="41" t="str">
        <x:f>IF(A88="","",IF(AND(ISNUMBER(V88),V88&gt;0),G88,""))</x:f>
      </x:c>
      <x:c r="P88" s="40" t="str">
        <x:f>IF(A88="","",IF(OR(U88&gt;0,Listas!$B$13&lt;&gt;"OK"),"REVISAR DADOS",IF(J88=0,"ARQUIVAR LOTE",IF(M88="Quarentena","DECIDIR LIBERAÇÃO",IF(M88="Bloqueado","SEGREGAR E INVESTIGAR",IF(M88="Esgotado","REVISAR STATUS COM SALDO",IF(N88="VENCIDO","SEGREGAR E AVALIAR DESTINAÇÃO",IF(OR(N88="CRÍTICO",N88="VENCE NA JANELA"),"PRIORIZAR FEFO","MANTER ROTAÇÃO"))))))))</x:f>
      </x:c>
      <x:c r="Q88" s="27"/>
      <x:c r="R88" s="181" t="str">
        <x:f>IF(A88="","",IF(OR(U88&gt;0,Listas!$B$13&lt;&gt;"OK"),"n.a.",IF(OR(N88="VENCIDO",N88="CRÍTICO",N88="VENCE NA JANELA",M88="Quarentena",M88="Bloqueado"),L88,0)))</x:f>
      </x:c>
      <x:c r="S88" s="163" t="str">
        <x:f>IF(COUNTA(A88:B88,D88:G88,I88,K88,M88,Q88,AB88:AD88)=0,"",IF(OR(A88="",COUNTIFS($A$5:$A$204,A88)&lt;&gt;1),"Lote ausente ou duplicado",IF(OR(B88="",COUNTIFS(Produtos!$A$5:$A$204,B88)&lt;&gt;1),"SKU ausente ou desconhecido",IF(COUNTIFS(Produtos!$A$5:$A$204,B88,Produtos!$R$5:$R$204,1)&gt;0,"Revisar cadastro do produto",IF(OR(NOT(ISNUMBER(E88)),E88&lt;=0,NOT(ISNUMBER(G88)),G88&lt;=0,G88&lt;E88),"Recebimento ou validade inválida",IF(AND(F88&lt;&gt;"",OR(NOT(ISNUMBER(F88)),F88&lt;=0,F88&gt;E88)),"Fabricação inválida ou posterior ao recebimento",IF(OR(NOT(ISNUMBER(K88)),K88&lt;0,NOT(ISNUMBER(I88)),I88&lt;0),"Quantidade recebida ou custo inválido",IF(AND(M88&lt;&gt;"Liberado",M88&lt;&gt;"Quarentena",M88&lt;&gt;"Bloqueado",M88&lt;&gt;"Esgotado"),"Status de lote inválido",""))))))))</x:f>
      </x:c>
      <x:c r="T88" s="163" t="n">
        <x:f>IF(A88="",0,COUNTIFS(Movimentacoes!$D$5:$D$304,A88,Movimentacoes!$P$5:$P$304,1))</x:f>
        <x:v>0</x:v>
      </x:c>
      <x:c r="U88" s="163" t="n">
        <x:f>IF(COUNTA(A88:B88,D88:G88,I88,K88,M88,Q88,AB88:AD88)=0,0,IF(OR(S88&lt;&gt;"",T88&gt;0),1,IF(ISNUMBER(J88),IF(OR(J88&lt;0,AND(J88&gt;0,M88="Esgotado")),1,0),0)))</x:f>
        <x:v>0</x:v>
      </x:c>
      <x:c r="V88" s="163" t="str">
        <x:f>IF(A88="","",IF(OR(U88&gt;0,Listas!$B$13&lt;&gt;"OK"),"n.a.",IF(AND(J88&gt;0,M88="Liberado",G88&gt;=Listas!$B$6),J88,0)))</x:f>
      </x:c>
      <x:c r="W88" s="163" t="str">
        <x:f>IF(A88="","",IF(OR(U88&gt;0,Listas!$B$13&lt;&gt;"OK"),"n.a.",V88*K88))</x:f>
      </x:c>
      <x:c r="X88" s="167" t="n">
        <x:f>IF(COUNTA(A88:B88,D88:G88,I88,K88,M88,Q88,AB88:AD88)=0,0,IF(OR(Listas!$B$19="Todos",B88=Listas!$B$19,COUNTIFS(Produtos!$A$5:$A$204,B88)&lt;&gt;1),1,0))</x:f>
        <x:v>0</x:v>
      </x:c>
      <x:c r="Y88" s="167" t="str">
        <x:f>IF(X88=0,"",IF(Listas!$B$13&lt;&gt;"OK","Revisar parâmetros",IF(U88&gt;0,IF(S88&lt;&gt;"",S88,IF(T88&gt;0,"Revisar movimentos",IF(AND(ISNUMBER(J88),J88&lt;0),"Saldo negativo","Status esgotado com saldo"))),IF(AG88&lt;&gt;"",AG88&amp;". ","")&amp;IF(J88&lt;=0,"",IF(N88="VENCIDO","Validade vencida. ","")&amp;IF(M88="Quarentena","Em quarentena. ","")&amp;IF(M88="Bloqueado","Lote bloqueado. ","")&amp;IF(N88="CRÍTICO","Validade crítica. ","")&amp;IF(N88="VENCE NA JANELA","Vence na janela. ","")))))</x:f>
      </x:c>
      <x:c r="Z88" s="167" t="n">
        <x:f>IF(OR(X88=0,Y88=""),0,IF(OR(Listas!$B$13&lt;&gt;"OK",U88&gt;0,AH88&gt;0),1,IF(N88="VENCIDO",2,IF(OR(M88="Quarentena",M88="Bloqueado"),3,IF(N88="CRÍTICO",4,5)))))</x:f>
        <x:v>0</x:v>
      </x:c>
      <x:c r="AA88" s="167" t="n">
        <x:f>IF(Z88=0,0,COUNTIFS($Z$5:$Z$204,"&gt;0",$Z$5:$Z$204,"&lt;"&amp;Z88,$X$5:$X$204,1)+COUNTIFS($Z$5:Z88,Z88,$X$5:X88,1))</x:f>
        <x:v>0</x:v>
      </x:c>
      <x:c r="AB88" s="168"/>
      <x:c r="AC88" s="168"/>
      <x:c r="AD88" s="169"/>
      <x:c r="AE88" s="167" t="str">
        <x:f>IF(X88=0,"",IF(OR(U88&gt;0,Listas!$B$13&lt;&gt;"OK"),"Dados pendentes",IF(J88&lt;=0,"Sem saldo",IF(N88="VENCIDO","Vencidos",IF(OR(M88="Quarentena",M88="Bloqueado"),"Restritos vigentes",IF(OR(N88="CRÍTICO",N88="VENCE NA JANELA"),"Liberados na janela","Demais liberados"))))))</x:f>
      </x:c>
      <x:c r="AF88" s="167" t="str">
        <x:f>IF(A88&lt;&gt;"",A88,IF(U88&gt;0,"Sem ID (linha "&amp;ROW()&amp;")",""))</x:f>
      </x:c>
      <x:c r="AG88" s="167" t="str">
        <x:f>IF(AD88="","",IF(OR(NOT(ISNUMBER(AD88)),AD88&lt;=0),"Prazo da ação inválido",""))</x:f>
      </x:c>
      <x:c r="AH88" s="167" t="n">
        <x:f>IF(AG88="",0,1)</x:f>
        <x:v>0</x:v>
      </x:c>
    </x:row>
    <x:row r="89" ht="32" customHeight="1">
      <x:c r="A89" s="27"/>
      <x:c r="B89" s="27"/>
      <x:c r="C89" s="40" t="str">
        <x:f>IF($B89="","",IFERROR(INDEX(Produtos!$B$5:$B$204,MATCH($B89,Produtos!$A$5:$A$204,0)),""))</x:f>
      </x:c>
      <x:c r="D89" s="170"/>
      <x:c r="E89" s="179"/>
      <x:c r="F89" s="179"/>
      <x:c r="G89" s="179"/>
      <x:c r="H89" s="40" t="str">
        <x:f>IF(A89="","",IF(OR(S89&lt;&gt;"",Listas!$B$13&lt;&gt;"OK"),"n.a.",G89-Listas!$B$6))</x:f>
      </x:c>
      <x:c r="I89" s="40"/>
      <x:c r="J89" s="40" t="str">
        <x:f>IF(A89="","",IF(OR(S89&lt;&gt;"",T89&gt;0,Listas!$B$13&lt;&gt;"OK"),"n.a.",SUMIFS(Movimentacoes!$H$5:$H$304,Movimentacoes!$D$5:$D$304,A89,Movimentacoes!$B$5:$B$304,"&lt;="&amp;Listas!$B$6)))</x:f>
      </x:c>
      <x:c r="K89" s="180"/>
      <x:c r="L89" s="181" t="str">
        <x:f>IF(A89="","",IF(OR(U89&gt;0,Listas!$B$13&lt;&gt;"OK"),"n.a.",J89*K89))</x:f>
      </x:c>
      <x:c r="M89" s="27"/>
      <x:c r="N89" s="40" t="str">
        <x:f>IF(A89="","",IF(OR(U89&gt;0,Listas!$B$13&lt;&gt;"OK"),"REVISAR DADOS",IF(J89=0,"SEM SALDO",IF(G89&lt;Listas!$B$6,"VENCIDO",IF(H89&lt;=Listas!$B$7,"CRÍTICO",IF(H89&lt;=Listas!$B$8,"VENCE NA JANELA","OK"))))))</x:f>
      </x:c>
      <x:c r="O89" s="41" t="str">
        <x:f>IF(A89="","",IF(AND(ISNUMBER(V89),V89&gt;0),G89,""))</x:f>
      </x:c>
      <x:c r="P89" s="40" t="str">
        <x:f>IF(A89="","",IF(OR(U89&gt;0,Listas!$B$13&lt;&gt;"OK"),"REVISAR DADOS",IF(J89=0,"ARQUIVAR LOTE",IF(M89="Quarentena","DECIDIR LIBERAÇÃO",IF(M89="Bloqueado","SEGREGAR E INVESTIGAR",IF(M89="Esgotado","REVISAR STATUS COM SALDO",IF(N89="VENCIDO","SEGREGAR E AVALIAR DESTINAÇÃO",IF(OR(N89="CRÍTICO",N89="VENCE NA JANELA"),"PRIORIZAR FEFO","MANTER ROTAÇÃO"))))))))</x:f>
      </x:c>
      <x:c r="Q89" s="27"/>
      <x:c r="R89" s="181" t="str">
        <x:f>IF(A89="","",IF(OR(U89&gt;0,Listas!$B$13&lt;&gt;"OK"),"n.a.",IF(OR(N89="VENCIDO",N89="CRÍTICO",N89="VENCE NA JANELA",M89="Quarentena",M89="Bloqueado"),L89,0)))</x:f>
      </x:c>
      <x:c r="S89" s="163" t="str">
        <x:f>IF(COUNTA(A89:B89,D89:G89,I89,K89,M89,Q89,AB89:AD89)=0,"",IF(OR(A89="",COUNTIFS($A$5:$A$204,A89)&lt;&gt;1),"Lote ausente ou duplicado",IF(OR(B89="",COUNTIFS(Produtos!$A$5:$A$204,B89)&lt;&gt;1),"SKU ausente ou desconhecido",IF(COUNTIFS(Produtos!$A$5:$A$204,B89,Produtos!$R$5:$R$204,1)&gt;0,"Revisar cadastro do produto",IF(OR(NOT(ISNUMBER(E89)),E89&lt;=0,NOT(ISNUMBER(G89)),G89&lt;=0,G89&lt;E89),"Recebimento ou validade inválida",IF(AND(F89&lt;&gt;"",OR(NOT(ISNUMBER(F89)),F89&lt;=0,F89&gt;E89)),"Fabricação inválida ou posterior ao recebimento",IF(OR(NOT(ISNUMBER(K89)),K89&lt;0,NOT(ISNUMBER(I89)),I89&lt;0),"Quantidade recebida ou custo inválido",IF(AND(M89&lt;&gt;"Liberado",M89&lt;&gt;"Quarentena",M89&lt;&gt;"Bloqueado",M89&lt;&gt;"Esgotado"),"Status de lote inválido",""))))))))</x:f>
      </x:c>
      <x:c r="T89" s="163" t="n">
        <x:f>IF(A89="",0,COUNTIFS(Movimentacoes!$D$5:$D$304,A89,Movimentacoes!$P$5:$P$304,1))</x:f>
        <x:v>0</x:v>
      </x:c>
      <x:c r="U89" s="163" t="n">
        <x:f>IF(COUNTA(A89:B89,D89:G89,I89,K89,M89,Q89,AB89:AD89)=0,0,IF(OR(S89&lt;&gt;"",T89&gt;0),1,IF(ISNUMBER(J89),IF(OR(J89&lt;0,AND(J89&gt;0,M89="Esgotado")),1,0),0)))</x:f>
        <x:v>0</x:v>
      </x:c>
      <x:c r="V89" s="163" t="str">
        <x:f>IF(A89="","",IF(OR(U89&gt;0,Listas!$B$13&lt;&gt;"OK"),"n.a.",IF(AND(J89&gt;0,M89="Liberado",G89&gt;=Listas!$B$6),J89,0)))</x:f>
      </x:c>
      <x:c r="W89" s="163" t="str">
        <x:f>IF(A89="","",IF(OR(U89&gt;0,Listas!$B$13&lt;&gt;"OK"),"n.a.",V89*K89))</x:f>
      </x:c>
      <x:c r="X89" s="167" t="n">
        <x:f>IF(COUNTA(A89:B89,D89:G89,I89,K89,M89,Q89,AB89:AD89)=0,0,IF(OR(Listas!$B$19="Todos",B89=Listas!$B$19,COUNTIFS(Produtos!$A$5:$A$204,B89)&lt;&gt;1),1,0))</x:f>
        <x:v>0</x:v>
      </x:c>
      <x:c r="Y89" s="167" t="str">
        <x:f>IF(X89=0,"",IF(Listas!$B$13&lt;&gt;"OK","Revisar parâmetros",IF(U89&gt;0,IF(S89&lt;&gt;"",S89,IF(T89&gt;0,"Revisar movimentos",IF(AND(ISNUMBER(J89),J89&lt;0),"Saldo negativo","Status esgotado com saldo"))),IF(AG89&lt;&gt;"",AG89&amp;". ","")&amp;IF(J89&lt;=0,"",IF(N89="VENCIDO","Validade vencida. ","")&amp;IF(M89="Quarentena","Em quarentena. ","")&amp;IF(M89="Bloqueado","Lote bloqueado. ","")&amp;IF(N89="CRÍTICO","Validade crítica. ","")&amp;IF(N89="VENCE NA JANELA","Vence na janela. ","")))))</x:f>
      </x:c>
      <x:c r="Z89" s="167" t="n">
        <x:f>IF(OR(X89=0,Y89=""),0,IF(OR(Listas!$B$13&lt;&gt;"OK",U89&gt;0,AH89&gt;0),1,IF(N89="VENCIDO",2,IF(OR(M89="Quarentena",M89="Bloqueado"),3,IF(N89="CRÍTICO",4,5)))))</x:f>
        <x:v>0</x:v>
      </x:c>
      <x:c r="AA89" s="167" t="n">
        <x:f>IF(Z89=0,0,COUNTIFS($Z$5:$Z$204,"&gt;0",$Z$5:$Z$204,"&lt;"&amp;Z89,$X$5:$X$204,1)+COUNTIFS($Z$5:Z89,Z89,$X$5:X89,1))</x:f>
        <x:v>0</x:v>
      </x:c>
      <x:c r="AB89" s="168"/>
      <x:c r="AC89" s="168"/>
      <x:c r="AD89" s="169"/>
      <x:c r="AE89" s="167" t="str">
        <x:f>IF(X89=0,"",IF(OR(U89&gt;0,Listas!$B$13&lt;&gt;"OK"),"Dados pendentes",IF(J89&lt;=0,"Sem saldo",IF(N89="VENCIDO","Vencidos",IF(OR(M89="Quarentena",M89="Bloqueado"),"Restritos vigentes",IF(OR(N89="CRÍTICO",N89="VENCE NA JANELA"),"Liberados na janela","Demais liberados"))))))</x:f>
      </x:c>
      <x:c r="AF89" s="167" t="str">
        <x:f>IF(A89&lt;&gt;"",A89,IF(U89&gt;0,"Sem ID (linha "&amp;ROW()&amp;")",""))</x:f>
      </x:c>
      <x:c r="AG89" s="167" t="str">
        <x:f>IF(AD89="","",IF(OR(NOT(ISNUMBER(AD89)),AD89&lt;=0),"Prazo da ação inválido",""))</x:f>
      </x:c>
      <x:c r="AH89" s="167" t="n">
        <x:f>IF(AG89="",0,1)</x:f>
        <x:v>0</x:v>
      </x:c>
    </x:row>
    <x:row r="90" ht="32" customHeight="1">
      <x:c r="A90" s="27"/>
      <x:c r="B90" s="27"/>
      <x:c r="C90" s="40" t="str">
        <x:f>IF($B90="","",IFERROR(INDEX(Produtos!$B$5:$B$204,MATCH($B90,Produtos!$A$5:$A$204,0)),""))</x:f>
      </x:c>
      <x:c r="D90" s="170"/>
      <x:c r="E90" s="179"/>
      <x:c r="F90" s="179"/>
      <x:c r="G90" s="179"/>
      <x:c r="H90" s="40" t="str">
        <x:f>IF(A90="","",IF(OR(S90&lt;&gt;"",Listas!$B$13&lt;&gt;"OK"),"n.a.",G90-Listas!$B$6))</x:f>
      </x:c>
      <x:c r="I90" s="40"/>
      <x:c r="J90" s="40" t="str">
        <x:f>IF(A90="","",IF(OR(S90&lt;&gt;"",T90&gt;0,Listas!$B$13&lt;&gt;"OK"),"n.a.",SUMIFS(Movimentacoes!$H$5:$H$304,Movimentacoes!$D$5:$D$304,A90,Movimentacoes!$B$5:$B$304,"&lt;="&amp;Listas!$B$6)))</x:f>
      </x:c>
      <x:c r="K90" s="180"/>
      <x:c r="L90" s="181" t="str">
        <x:f>IF(A90="","",IF(OR(U90&gt;0,Listas!$B$13&lt;&gt;"OK"),"n.a.",J90*K90))</x:f>
      </x:c>
      <x:c r="M90" s="27"/>
      <x:c r="N90" s="40" t="str">
        <x:f>IF(A90="","",IF(OR(U90&gt;0,Listas!$B$13&lt;&gt;"OK"),"REVISAR DADOS",IF(J90=0,"SEM SALDO",IF(G90&lt;Listas!$B$6,"VENCIDO",IF(H90&lt;=Listas!$B$7,"CRÍTICO",IF(H90&lt;=Listas!$B$8,"VENCE NA JANELA","OK"))))))</x:f>
      </x:c>
      <x:c r="O90" s="41" t="str">
        <x:f>IF(A90="","",IF(AND(ISNUMBER(V90),V90&gt;0),G90,""))</x:f>
      </x:c>
      <x:c r="P90" s="40" t="str">
        <x:f>IF(A90="","",IF(OR(U90&gt;0,Listas!$B$13&lt;&gt;"OK"),"REVISAR DADOS",IF(J90=0,"ARQUIVAR LOTE",IF(M90="Quarentena","DECIDIR LIBERAÇÃO",IF(M90="Bloqueado","SEGREGAR E INVESTIGAR",IF(M90="Esgotado","REVISAR STATUS COM SALDO",IF(N90="VENCIDO","SEGREGAR E AVALIAR DESTINAÇÃO",IF(OR(N90="CRÍTICO",N90="VENCE NA JANELA"),"PRIORIZAR FEFO","MANTER ROTAÇÃO"))))))))</x:f>
      </x:c>
      <x:c r="Q90" s="27"/>
      <x:c r="R90" s="181" t="str">
        <x:f>IF(A90="","",IF(OR(U90&gt;0,Listas!$B$13&lt;&gt;"OK"),"n.a.",IF(OR(N90="VENCIDO",N90="CRÍTICO",N90="VENCE NA JANELA",M90="Quarentena",M90="Bloqueado"),L90,0)))</x:f>
      </x:c>
      <x:c r="S90" s="163" t="str">
        <x:f>IF(COUNTA(A90:B90,D90:G90,I90,K90,M90,Q90,AB90:AD90)=0,"",IF(OR(A90="",COUNTIFS($A$5:$A$204,A90)&lt;&gt;1),"Lote ausente ou duplicado",IF(OR(B90="",COUNTIFS(Produtos!$A$5:$A$204,B90)&lt;&gt;1),"SKU ausente ou desconhecido",IF(COUNTIFS(Produtos!$A$5:$A$204,B90,Produtos!$R$5:$R$204,1)&gt;0,"Revisar cadastro do produto",IF(OR(NOT(ISNUMBER(E90)),E90&lt;=0,NOT(ISNUMBER(G90)),G90&lt;=0,G90&lt;E90),"Recebimento ou validade inválida",IF(AND(F90&lt;&gt;"",OR(NOT(ISNUMBER(F90)),F90&lt;=0,F90&gt;E90)),"Fabricação inválida ou posterior ao recebimento",IF(OR(NOT(ISNUMBER(K90)),K90&lt;0,NOT(ISNUMBER(I90)),I90&lt;0),"Quantidade recebida ou custo inválido",IF(AND(M90&lt;&gt;"Liberado",M90&lt;&gt;"Quarentena",M90&lt;&gt;"Bloqueado",M90&lt;&gt;"Esgotado"),"Status de lote inválido",""))))))))</x:f>
      </x:c>
      <x:c r="T90" s="163" t="n">
        <x:f>IF(A90="",0,COUNTIFS(Movimentacoes!$D$5:$D$304,A90,Movimentacoes!$P$5:$P$304,1))</x:f>
        <x:v>0</x:v>
      </x:c>
      <x:c r="U90" s="163" t="n">
        <x:f>IF(COUNTA(A90:B90,D90:G90,I90,K90,M90,Q90,AB90:AD90)=0,0,IF(OR(S90&lt;&gt;"",T90&gt;0),1,IF(ISNUMBER(J90),IF(OR(J90&lt;0,AND(J90&gt;0,M90="Esgotado")),1,0),0)))</x:f>
        <x:v>0</x:v>
      </x:c>
      <x:c r="V90" s="163" t="str">
        <x:f>IF(A90="","",IF(OR(U90&gt;0,Listas!$B$13&lt;&gt;"OK"),"n.a.",IF(AND(J90&gt;0,M90="Liberado",G90&gt;=Listas!$B$6),J90,0)))</x:f>
      </x:c>
      <x:c r="W90" s="163" t="str">
        <x:f>IF(A90="","",IF(OR(U90&gt;0,Listas!$B$13&lt;&gt;"OK"),"n.a.",V90*K90))</x:f>
      </x:c>
      <x:c r="X90" s="167" t="n">
        <x:f>IF(COUNTA(A90:B90,D90:G90,I90,K90,M90,Q90,AB90:AD90)=0,0,IF(OR(Listas!$B$19="Todos",B90=Listas!$B$19,COUNTIFS(Produtos!$A$5:$A$204,B90)&lt;&gt;1),1,0))</x:f>
        <x:v>0</x:v>
      </x:c>
      <x:c r="Y90" s="167" t="str">
        <x:f>IF(X90=0,"",IF(Listas!$B$13&lt;&gt;"OK","Revisar parâmetros",IF(U90&gt;0,IF(S90&lt;&gt;"",S90,IF(T90&gt;0,"Revisar movimentos",IF(AND(ISNUMBER(J90),J90&lt;0),"Saldo negativo","Status esgotado com saldo"))),IF(AG90&lt;&gt;"",AG90&amp;". ","")&amp;IF(J90&lt;=0,"",IF(N90="VENCIDO","Validade vencida. ","")&amp;IF(M90="Quarentena","Em quarentena. ","")&amp;IF(M90="Bloqueado","Lote bloqueado. ","")&amp;IF(N90="CRÍTICO","Validade crítica. ","")&amp;IF(N90="VENCE NA JANELA","Vence na janela. ","")))))</x:f>
      </x:c>
      <x:c r="Z90" s="167" t="n">
        <x:f>IF(OR(X90=0,Y90=""),0,IF(OR(Listas!$B$13&lt;&gt;"OK",U90&gt;0,AH90&gt;0),1,IF(N90="VENCIDO",2,IF(OR(M90="Quarentena",M90="Bloqueado"),3,IF(N90="CRÍTICO",4,5)))))</x:f>
        <x:v>0</x:v>
      </x:c>
      <x:c r="AA90" s="167" t="n">
        <x:f>IF(Z90=0,0,COUNTIFS($Z$5:$Z$204,"&gt;0",$Z$5:$Z$204,"&lt;"&amp;Z90,$X$5:$X$204,1)+COUNTIFS($Z$5:Z90,Z90,$X$5:X90,1))</x:f>
        <x:v>0</x:v>
      </x:c>
      <x:c r="AB90" s="168"/>
      <x:c r="AC90" s="168"/>
      <x:c r="AD90" s="169"/>
      <x:c r="AE90" s="167" t="str">
        <x:f>IF(X90=0,"",IF(OR(U90&gt;0,Listas!$B$13&lt;&gt;"OK"),"Dados pendentes",IF(J90&lt;=0,"Sem saldo",IF(N90="VENCIDO","Vencidos",IF(OR(M90="Quarentena",M90="Bloqueado"),"Restritos vigentes",IF(OR(N90="CRÍTICO",N90="VENCE NA JANELA"),"Liberados na janela","Demais liberados"))))))</x:f>
      </x:c>
      <x:c r="AF90" s="167" t="str">
        <x:f>IF(A90&lt;&gt;"",A90,IF(U90&gt;0,"Sem ID (linha "&amp;ROW()&amp;")",""))</x:f>
      </x:c>
      <x:c r="AG90" s="167" t="str">
        <x:f>IF(AD90="","",IF(OR(NOT(ISNUMBER(AD90)),AD90&lt;=0),"Prazo da ação inválido",""))</x:f>
      </x:c>
      <x:c r="AH90" s="167" t="n">
        <x:f>IF(AG90="",0,1)</x:f>
        <x:v>0</x:v>
      </x:c>
    </x:row>
    <x:row r="91" ht="32" customHeight="1">
      <x:c r="A91" s="27"/>
      <x:c r="B91" s="27"/>
      <x:c r="C91" s="40" t="str">
        <x:f>IF($B91="","",IFERROR(INDEX(Produtos!$B$5:$B$204,MATCH($B91,Produtos!$A$5:$A$204,0)),""))</x:f>
      </x:c>
      <x:c r="D91" s="170"/>
      <x:c r="E91" s="179"/>
      <x:c r="F91" s="179"/>
      <x:c r="G91" s="179"/>
      <x:c r="H91" s="40" t="str">
        <x:f>IF(A91="","",IF(OR(S91&lt;&gt;"",Listas!$B$13&lt;&gt;"OK"),"n.a.",G91-Listas!$B$6))</x:f>
      </x:c>
      <x:c r="I91" s="40"/>
      <x:c r="J91" s="40" t="str">
        <x:f>IF(A91="","",IF(OR(S91&lt;&gt;"",T91&gt;0,Listas!$B$13&lt;&gt;"OK"),"n.a.",SUMIFS(Movimentacoes!$H$5:$H$304,Movimentacoes!$D$5:$D$304,A91,Movimentacoes!$B$5:$B$304,"&lt;="&amp;Listas!$B$6)))</x:f>
      </x:c>
      <x:c r="K91" s="180"/>
      <x:c r="L91" s="181" t="str">
        <x:f>IF(A91="","",IF(OR(U91&gt;0,Listas!$B$13&lt;&gt;"OK"),"n.a.",J91*K91))</x:f>
      </x:c>
      <x:c r="M91" s="27"/>
      <x:c r="N91" s="40" t="str">
        <x:f>IF(A91="","",IF(OR(U91&gt;0,Listas!$B$13&lt;&gt;"OK"),"REVISAR DADOS",IF(J91=0,"SEM SALDO",IF(G91&lt;Listas!$B$6,"VENCIDO",IF(H91&lt;=Listas!$B$7,"CRÍTICO",IF(H91&lt;=Listas!$B$8,"VENCE NA JANELA","OK"))))))</x:f>
      </x:c>
      <x:c r="O91" s="41" t="str">
        <x:f>IF(A91="","",IF(AND(ISNUMBER(V91),V91&gt;0),G91,""))</x:f>
      </x:c>
      <x:c r="P91" s="40" t="str">
        <x:f>IF(A91="","",IF(OR(U91&gt;0,Listas!$B$13&lt;&gt;"OK"),"REVISAR DADOS",IF(J91=0,"ARQUIVAR LOTE",IF(M91="Quarentena","DECIDIR LIBERAÇÃO",IF(M91="Bloqueado","SEGREGAR E INVESTIGAR",IF(M91="Esgotado","REVISAR STATUS COM SALDO",IF(N91="VENCIDO","SEGREGAR E AVALIAR DESTINAÇÃO",IF(OR(N91="CRÍTICO",N91="VENCE NA JANELA"),"PRIORIZAR FEFO","MANTER ROTAÇÃO"))))))))</x:f>
      </x:c>
      <x:c r="Q91" s="27"/>
      <x:c r="R91" s="181" t="str">
        <x:f>IF(A91="","",IF(OR(U91&gt;0,Listas!$B$13&lt;&gt;"OK"),"n.a.",IF(OR(N91="VENCIDO",N91="CRÍTICO",N91="VENCE NA JANELA",M91="Quarentena",M91="Bloqueado"),L91,0)))</x:f>
      </x:c>
      <x:c r="S91" s="163" t="str">
        <x:f>IF(COUNTA(A91:B91,D91:G91,I91,K91,M91,Q91,AB91:AD91)=0,"",IF(OR(A91="",COUNTIFS($A$5:$A$204,A91)&lt;&gt;1),"Lote ausente ou duplicado",IF(OR(B91="",COUNTIFS(Produtos!$A$5:$A$204,B91)&lt;&gt;1),"SKU ausente ou desconhecido",IF(COUNTIFS(Produtos!$A$5:$A$204,B91,Produtos!$R$5:$R$204,1)&gt;0,"Revisar cadastro do produto",IF(OR(NOT(ISNUMBER(E91)),E91&lt;=0,NOT(ISNUMBER(G91)),G91&lt;=0,G91&lt;E91),"Recebimento ou validade inválida",IF(AND(F91&lt;&gt;"",OR(NOT(ISNUMBER(F91)),F91&lt;=0,F91&gt;E91)),"Fabricação inválida ou posterior ao recebimento",IF(OR(NOT(ISNUMBER(K91)),K91&lt;0,NOT(ISNUMBER(I91)),I91&lt;0),"Quantidade recebida ou custo inválido",IF(AND(M91&lt;&gt;"Liberado",M91&lt;&gt;"Quarentena",M91&lt;&gt;"Bloqueado",M91&lt;&gt;"Esgotado"),"Status de lote inválido",""))))))))</x:f>
      </x:c>
      <x:c r="T91" s="163" t="n">
        <x:f>IF(A91="",0,COUNTIFS(Movimentacoes!$D$5:$D$304,A91,Movimentacoes!$P$5:$P$304,1))</x:f>
        <x:v>0</x:v>
      </x:c>
      <x:c r="U91" s="163" t="n">
        <x:f>IF(COUNTA(A91:B91,D91:G91,I91,K91,M91,Q91,AB91:AD91)=0,0,IF(OR(S91&lt;&gt;"",T91&gt;0),1,IF(ISNUMBER(J91),IF(OR(J91&lt;0,AND(J91&gt;0,M91="Esgotado")),1,0),0)))</x:f>
        <x:v>0</x:v>
      </x:c>
      <x:c r="V91" s="163" t="str">
        <x:f>IF(A91="","",IF(OR(U91&gt;0,Listas!$B$13&lt;&gt;"OK"),"n.a.",IF(AND(J91&gt;0,M91="Liberado",G91&gt;=Listas!$B$6),J91,0)))</x:f>
      </x:c>
      <x:c r="W91" s="163" t="str">
        <x:f>IF(A91="","",IF(OR(U91&gt;0,Listas!$B$13&lt;&gt;"OK"),"n.a.",V91*K91))</x:f>
      </x:c>
      <x:c r="X91" s="167" t="n">
        <x:f>IF(COUNTA(A91:B91,D91:G91,I91,K91,M91,Q91,AB91:AD91)=0,0,IF(OR(Listas!$B$19="Todos",B91=Listas!$B$19,COUNTIFS(Produtos!$A$5:$A$204,B91)&lt;&gt;1),1,0))</x:f>
        <x:v>0</x:v>
      </x:c>
      <x:c r="Y91" s="167" t="str">
        <x:f>IF(X91=0,"",IF(Listas!$B$13&lt;&gt;"OK","Revisar parâmetros",IF(U91&gt;0,IF(S91&lt;&gt;"",S91,IF(T91&gt;0,"Revisar movimentos",IF(AND(ISNUMBER(J91),J91&lt;0),"Saldo negativo","Status esgotado com saldo"))),IF(AG91&lt;&gt;"",AG91&amp;". ","")&amp;IF(J91&lt;=0,"",IF(N91="VENCIDO","Validade vencida. ","")&amp;IF(M91="Quarentena","Em quarentena. ","")&amp;IF(M91="Bloqueado","Lote bloqueado. ","")&amp;IF(N91="CRÍTICO","Validade crítica. ","")&amp;IF(N91="VENCE NA JANELA","Vence na janela. ","")))))</x:f>
      </x:c>
      <x:c r="Z91" s="167" t="n">
        <x:f>IF(OR(X91=0,Y91=""),0,IF(OR(Listas!$B$13&lt;&gt;"OK",U91&gt;0,AH91&gt;0),1,IF(N91="VENCIDO",2,IF(OR(M91="Quarentena",M91="Bloqueado"),3,IF(N91="CRÍTICO",4,5)))))</x:f>
        <x:v>0</x:v>
      </x:c>
      <x:c r="AA91" s="167" t="n">
        <x:f>IF(Z91=0,0,COUNTIFS($Z$5:$Z$204,"&gt;0",$Z$5:$Z$204,"&lt;"&amp;Z91,$X$5:$X$204,1)+COUNTIFS($Z$5:Z91,Z91,$X$5:X91,1))</x:f>
        <x:v>0</x:v>
      </x:c>
      <x:c r="AB91" s="168"/>
      <x:c r="AC91" s="168"/>
      <x:c r="AD91" s="169"/>
      <x:c r="AE91" s="167" t="str">
        <x:f>IF(X91=0,"",IF(OR(U91&gt;0,Listas!$B$13&lt;&gt;"OK"),"Dados pendentes",IF(J91&lt;=0,"Sem saldo",IF(N91="VENCIDO","Vencidos",IF(OR(M91="Quarentena",M91="Bloqueado"),"Restritos vigentes",IF(OR(N91="CRÍTICO",N91="VENCE NA JANELA"),"Liberados na janela","Demais liberados"))))))</x:f>
      </x:c>
      <x:c r="AF91" s="167" t="str">
        <x:f>IF(A91&lt;&gt;"",A91,IF(U91&gt;0,"Sem ID (linha "&amp;ROW()&amp;")",""))</x:f>
      </x:c>
      <x:c r="AG91" s="167" t="str">
        <x:f>IF(AD91="","",IF(OR(NOT(ISNUMBER(AD91)),AD91&lt;=0),"Prazo da ação inválido",""))</x:f>
      </x:c>
      <x:c r="AH91" s="167" t="n">
        <x:f>IF(AG91="",0,1)</x:f>
        <x:v>0</x:v>
      </x:c>
    </x:row>
    <x:row r="92" ht="32" customHeight="1">
      <x:c r="A92" s="27"/>
      <x:c r="B92" s="27"/>
      <x:c r="C92" s="40" t="str">
        <x:f>IF($B92="","",IFERROR(INDEX(Produtos!$B$5:$B$204,MATCH($B92,Produtos!$A$5:$A$204,0)),""))</x:f>
      </x:c>
      <x:c r="D92" s="170"/>
      <x:c r="E92" s="179"/>
      <x:c r="F92" s="179"/>
      <x:c r="G92" s="179"/>
      <x:c r="H92" s="40" t="str">
        <x:f>IF(A92="","",IF(OR(S92&lt;&gt;"",Listas!$B$13&lt;&gt;"OK"),"n.a.",G92-Listas!$B$6))</x:f>
      </x:c>
      <x:c r="I92" s="40"/>
      <x:c r="J92" s="40" t="str">
        <x:f>IF(A92="","",IF(OR(S92&lt;&gt;"",T92&gt;0,Listas!$B$13&lt;&gt;"OK"),"n.a.",SUMIFS(Movimentacoes!$H$5:$H$304,Movimentacoes!$D$5:$D$304,A92,Movimentacoes!$B$5:$B$304,"&lt;="&amp;Listas!$B$6)))</x:f>
      </x:c>
      <x:c r="K92" s="180"/>
      <x:c r="L92" s="181" t="str">
        <x:f>IF(A92="","",IF(OR(U92&gt;0,Listas!$B$13&lt;&gt;"OK"),"n.a.",J92*K92))</x:f>
      </x:c>
      <x:c r="M92" s="27"/>
      <x:c r="N92" s="40" t="str">
        <x:f>IF(A92="","",IF(OR(U92&gt;0,Listas!$B$13&lt;&gt;"OK"),"REVISAR DADOS",IF(J92=0,"SEM SALDO",IF(G92&lt;Listas!$B$6,"VENCIDO",IF(H92&lt;=Listas!$B$7,"CRÍTICO",IF(H92&lt;=Listas!$B$8,"VENCE NA JANELA","OK"))))))</x:f>
      </x:c>
      <x:c r="O92" s="41" t="str">
        <x:f>IF(A92="","",IF(AND(ISNUMBER(V92),V92&gt;0),G92,""))</x:f>
      </x:c>
      <x:c r="P92" s="40" t="str">
        <x:f>IF(A92="","",IF(OR(U92&gt;0,Listas!$B$13&lt;&gt;"OK"),"REVISAR DADOS",IF(J92=0,"ARQUIVAR LOTE",IF(M92="Quarentena","DECIDIR LIBERAÇÃO",IF(M92="Bloqueado","SEGREGAR E INVESTIGAR",IF(M92="Esgotado","REVISAR STATUS COM SALDO",IF(N92="VENCIDO","SEGREGAR E AVALIAR DESTINAÇÃO",IF(OR(N92="CRÍTICO",N92="VENCE NA JANELA"),"PRIORIZAR FEFO","MANTER ROTAÇÃO"))))))))</x:f>
      </x:c>
      <x:c r="Q92" s="27"/>
      <x:c r="R92" s="181" t="str">
        <x:f>IF(A92="","",IF(OR(U92&gt;0,Listas!$B$13&lt;&gt;"OK"),"n.a.",IF(OR(N92="VENCIDO",N92="CRÍTICO",N92="VENCE NA JANELA",M92="Quarentena",M92="Bloqueado"),L92,0)))</x:f>
      </x:c>
      <x:c r="S92" s="163" t="str">
        <x:f>IF(COUNTA(A92:B92,D92:G92,I92,K92,M92,Q92,AB92:AD92)=0,"",IF(OR(A92="",COUNTIFS($A$5:$A$204,A92)&lt;&gt;1),"Lote ausente ou duplicado",IF(OR(B92="",COUNTIFS(Produtos!$A$5:$A$204,B92)&lt;&gt;1),"SKU ausente ou desconhecido",IF(COUNTIFS(Produtos!$A$5:$A$204,B92,Produtos!$R$5:$R$204,1)&gt;0,"Revisar cadastro do produto",IF(OR(NOT(ISNUMBER(E92)),E92&lt;=0,NOT(ISNUMBER(G92)),G92&lt;=0,G92&lt;E92),"Recebimento ou validade inválida",IF(AND(F92&lt;&gt;"",OR(NOT(ISNUMBER(F92)),F92&lt;=0,F92&gt;E92)),"Fabricação inválida ou posterior ao recebimento",IF(OR(NOT(ISNUMBER(K92)),K92&lt;0,NOT(ISNUMBER(I92)),I92&lt;0),"Quantidade recebida ou custo inválido",IF(AND(M92&lt;&gt;"Liberado",M92&lt;&gt;"Quarentena",M92&lt;&gt;"Bloqueado",M92&lt;&gt;"Esgotado"),"Status de lote inválido",""))))))))</x:f>
      </x:c>
      <x:c r="T92" s="163" t="n">
        <x:f>IF(A92="",0,COUNTIFS(Movimentacoes!$D$5:$D$304,A92,Movimentacoes!$P$5:$P$304,1))</x:f>
        <x:v>0</x:v>
      </x:c>
      <x:c r="U92" s="163" t="n">
        <x:f>IF(COUNTA(A92:B92,D92:G92,I92,K92,M92,Q92,AB92:AD92)=0,0,IF(OR(S92&lt;&gt;"",T92&gt;0),1,IF(ISNUMBER(J92),IF(OR(J92&lt;0,AND(J92&gt;0,M92="Esgotado")),1,0),0)))</x:f>
        <x:v>0</x:v>
      </x:c>
      <x:c r="V92" s="163" t="str">
        <x:f>IF(A92="","",IF(OR(U92&gt;0,Listas!$B$13&lt;&gt;"OK"),"n.a.",IF(AND(J92&gt;0,M92="Liberado",G92&gt;=Listas!$B$6),J92,0)))</x:f>
      </x:c>
      <x:c r="W92" s="163" t="str">
        <x:f>IF(A92="","",IF(OR(U92&gt;0,Listas!$B$13&lt;&gt;"OK"),"n.a.",V92*K92))</x:f>
      </x:c>
      <x:c r="X92" s="167" t="n">
        <x:f>IF(COUNTA(A92:B92,D92:G92,I92,K92,M92,Q92,AB92:AD92)=0,0,IF(OR(Listas!$B$19="Todos",B92=Listas!$B$19,COUNTIFS(Produtos!$A$5:$A$204,B92)&lt;&gt;1),1,0))</x:f>
        <x:v>0</x:v>
      </x:c>
      <x:c r="Y92" s="167" t="str">
        <x:f>IF(X92=0,"",IF(Listas!$B$13&lt;&gt;"OK","Revisar parâmetros",IF(U92&gt;0,IF(S92&lt;&gt;"",S92,IF(T92&gt;0,"Revisar movimentos",IF(AND(ISNUMBER(J92),J92&lt;0),"Saldo negativo","Status esgotado com saldo"))),IF(AG92&lt;&gt;"",AG92&amp;". ","")&amp;IF(J92&lt;=0,"",IF(N92="VENCIDO","Validade vencida. ","")&amp;IF(M92="Quarentena","Em quarentena. ","")&amp;IF(M92="Bloqueado","Lote bloqueado. ","")&amp;IF(N92="CRÍTICO","Validade crítica. ","")&amp;IF(N92="VENCE NA JANELA","Vence na janela. ","")))))</x:f>
      </x:c>
      <x:c r="Z92" s="167" t="n">
        <x:f>IF(OR(X92=0,Y92=""),0,IF(OR(Listas!$B$13&lt;&gt;"OK",U92&gt;0,AH92&gt;0),1,IF(N92="VENCIDO",2,IF(OR(M92="Quarentena",M92="Bloqueado"),3,IF(N92="CRÍTICO",4,5)))))</x:f>
        <x:v>0</x:v>
      </x:c>
      <x:c r="AA92" s="167" t="n">
        <x:f>IF(Z92=0,0,COUNTIFS($Z$5:$Z$204,"&gt;0",$Z$5:$Z$204,"&lt;"&amp;Z92,$X$5:$X$204,1)+COUNTIFS($Z$5:Z92,Z92,$X$5:X92,1))</x:f>
        <x:v>0</x:v>
      </x:c>
      <x:c r="AB92" s="168"/>
      <x:c r="AC92" s="168"/>
      <x:c r="AD92" s="169"/>
      <x:c r="AE92" s="167" t="str">
        <x:f>IF(X92=0,"",IF(OR(U92&gt;0,Listas!$B$13&lt;&gt;"OK"),"Dados pendentes",IF(J92&lt;=0,"Sem saldo",IF(N92="VENCIDO","Vencidos",IF(OR(M92="Quarentena",M92="Bloqueado"),"Restritos vigentes",IF(OR(N92="CRÍTICO",N92="VENCE NA JANELA"),"Liberados na janela","Demais liberados"))))))</x:f>
      </x:c>
      <x:c r="AF92" s="167" t="str">
        <x:f>IF(A92&lt;&gt;"",A92,IF(U92&gt;0,"Sem ID (linha "&amp;ROW()&amp;")",""))</x:f>
      </x:c>
      <x:c r="AG92" s="167" t="str">
        <x:f>IF(AD92="","",IF(OR(NOT(ISNUMBER(AD92)),AD92&lt;=0),"Prazo da ação inválido",""))</x:f>
      </x:c>
      <x:c r="AH92" s="167" t="n">
        <x:f>IF(AG92="",0,1)</x:f>
        <x:v>0</x:v>
      </x:c>
    </x:row>
    <x:row r="93" ht="32" customHeight="1">
      <x:c r="A93" s="27"/>
      <x:c r="B93" s="27"/>
      <x:c r="C93" s="40" t="str">
        <x:f>IF($B93="","",IFERROR(INDEX(Produtos!$B$5:$B$204,MATCH($B93,Produtos!$A$5:$A$204,0)),""))</x:f>
      </x:c>
      <x:c r="D93" s="170"/>
      <x:c r="E93" s="179"/>
      <x:c r="F93" s="179"/>
      <x:c r="G93" s="179"/>
      <x:c r="H93" s="40" t="str">
        <x:f>IF(A93="","",IF(OR(S93&lt;&gt;"",Listas!$B$13&lt;&gt;"OK"),"n.a.",G93-Listas!$B$6))</x:f>
      </x:c>
      <x:c r="I93" s="40"/>
      <x:c r="J93" s="40" t="str">
        <x:f>IF(A93="","",IF(OR(S93&lt;&gt;"",T93&gt;0,Listas!$B$13&lt;&gt;"OK"),"n.a.",SUMIFS(Movimentacoes!$H$5:$H$304,Movimentacoes!$D$5:$D$304,A93,Movimentacoes!$B$5:$B$304,"&lt;="&amp;Listas!$B$6)))</x:f>
      </x:c>
      <x:c r="K93" s="180"/>
      <x:c r="L93" s="181" t="str">
        <x:f>IF(A93="","",IF(OR(U93&gt;0,Listas!$B$13&lt;&gt;"OK"),"n.a.",J93*K93))</x:f>
      </x:c>
      <x:c r="M93" s="27"/>
      <x:c r="N93" s="40" t="str">
        <x:f>IF(A93="","",IF(OR(U93&gt;0,Listas!$B$13&lt;&gt;"OK"),"REVISAR DADOS",IF(J93=0,"SEM SALDO",IF(G93&lt;Listas!$B$6,"VENCIDO",IF(H93&lt;=Listas!$B$7,"CRÍTICO",IF(H93&lt;=Listas!$B$8,"VENCE NA JANELA","OK"))))))</x:f>
      </x:c>
      <x:c r="O93" s="41" t="str">
        <x:f>IF(A93="","",IF(AND(ISNUMBER(V93),V93&gt;0),G93,""))</x:f>
      </x:c>
      <x:c r="P93" s="40" t="str">
        <x:f>IF(A93="","",IF(OR(U93&gt;0,Listas!$B$13&lt;&gt;"OK"),"REVISAR DADOS",IF(J93=0,"ARQUIVAR LOTE",IF(M93="Quarentena","DECIDIR LIBERAÇÃO",IF(M93="Bloqueado","SEGREGAR E INVESTIGAR",IF(M93="Esgotado","REVISAR STATUS COM SALDO",IF(N93="VENCIDO","SEGREGAR E AVALIAR DESTINAÇÃO",IF(OR(N93="CRÍTICO",N93="VENCE NA JANELA"),"PRIORIZAR FEFO","MANTER ROTAÇÃO"))))))))</x:f>
      </x:c>
      <x:c r="Q93" s="27"/>
      <x:c r="R93" s="181" t="str">
        <x:f>IF(A93="","",IF(OR(U93&gt;0,Listas!$B$13&lt;&gt;"OK"),"n.a.",IF(OR(N93="VENCIDO",N93="CRÍTICO",N93="VENCE NA JANELA",M93="Quarentena",M93="Bloqueado"),L93,0)))</x:f>
      </x:c>
      <x:c r="S93" s="163" t="str">
        <x:f>IF(COUNTA(A93:B93,D93:G93,I93,K93,M93,Q93,AB93:AD93)=0,"",IF(OR(A93="",COUNTIFS($A$5:$A$204,A93)&lt;&gt;1),"Lote ausente ou duplicado",IF(OR(B93="",COUNTIFS(Produtos!$A$5:$A$204,B93)&lt;&gt;1),"SKU ausente ou desconhecido",IF(COUNTIFS(Produtos!$A$5:$A$204,B93,Produtos!$R$5:$R$204,1)&gt;0,"Revisar cadastro do produto",IF(OR(NOT(ISNUMBER(E93)),E93&lt;=0,NOT(ISNUMBER(G93)),G93&lt;=0,G93&lt;E93),"Recebimento ou validade inválida",IF(AND(F93&lt;&gt;"",OR(NOT(ISNUMBER(F93)),F93&lt;=0,F93&gt;E93)),"Fabricação inválida ou posterior ao recebimento",IF(OR(NOT(ISNUMBER(K93)),K93&lt;0,NOT(ISNUMBER(I93)),I93&lt;0),"Quantidade recebida ou custo inválido",IF(AND(M93&lt;&gt;"Liberado",M93&lt;&gt;"Quarentena",M93&lt;&gt;"Bloqueado",M93&lt;&gt;"Esgotado"),"Status de lote inválido",""))))))))</x:f>
      </x:c>
      <x:c r="T93" s="163" t="n">
        <x:f>IF(A93="",0,COUNTIFS(Movimentacoes!$D$5:$D$304,A93,Movimentacoes!$P$5:$P$304,1))</x:f>
        <x:v>0</x:v>
      </x:c>
      <x:c r="U93" s="163" t="n">
        <x:f>IF(COUNTA(A93:B93,D93:G93,I93,K93,M93,Q93,AB93:AD93)=0,0,IF(OR(S93&lt;&gt;"",T93&gt;0),1,IF(ISNUMBER(J93),IF(OR(J93&lt;0,AND(J93&gt;0,M93="Esgotado")),1,0),0)))</x:f>
        <x:v>0</x:v>
      </x:c>
      <x:c r="V93" s="163" t="str">
        <x:f>IF(A93="","",IF(OR(U93&gt;0,Listas!$B$13&lt;&gt;"OK"),"n.a.",IF(AND(J93&gt;0,M93="Liberado",G93&gt;=Listas!$B$6),J93,0)))</x:f>
      </x:c>
      <x:c r="W93" s="163" t="str">
        <x:f>IF(A93="","",IF(OR(U93&gt;0,Listas!$B$13&lt;&gt;"OK"),"n.a.",V93*K93))</x:f>
      </x:c>
      <x:c r="X93" s="167" t="n">
        <x:f>IF(COUNTA(A93:B93,D93:G93,I93,K93,M93,Q93,AB93:AD93)=0,0,IF(OR(Listas!$B$19="Todos",B93=Listas!$B$19,COUNTIFS(Produtos!$A$5:$A$204,B93)&lt;&gt;1),1,0))</x:f>
        <x:v>0</x:v>
      </x:c>
      <x:c r="Y93" s="167" t="str">
        <x:f>IF(X93=0,"",IF(Listas!$B$13&lt;&gt;"OK","Revisar parâmetros",IF(U93&gt;0,IF(S93&lt;&gt;"",S93,IF(T93&gt;0,"Revisar movimentos",IF(AND(ISNUMBER(J93),J93&lt;0),"Saldo negativo","Status esgotado com saldo"))),IF(AG93&lt;&gt;"",AG93&amp;". ","")&amp;IF(J93&lt;=0,"",IF(N93="VENCIDO","Validade vencida. ","")&amp;IF(M93="Quarentena","Em quarentena. ","")&amp;IF(M93="Bloqueado","Lote bloqueado. ","")&amp;IF(N93="CRÍTICO","Validade crítica. ","")&amp;IF(N93="VENCE NA JANELA","Vence na janela. ","")))))</x:f>
      </x:c>
      <x:c r="Z93" s="167" t="n">
        <x:f>IF(OR(X93=0,Y93=""),0,IF(OR(Listas!$B$13&lt;&gt;"OK",U93&gt;0,AH93&gt;0),1,IF(N93="VENCIDO",2,IF(OR(M93="Quarentena",M93="Bloqueado"),3,IF(N93="CRÍTICO",4,5)))))</x:f>
        <x:v>0</x:v>
      </x:c>
      <x:c r="AA93" s="167" t="n">
        <x:f>IF(Z93=0,0,COUNTIFS($Z$5:$Z$204,"&gt;0",$Z$5:$Z$204,"&lt;"&amp;Z93,$X$5:$X$204,1)+COUNTIFS($Z$5:Z93,Z93,$X$5:X93,1))</x:f>
        <x:v>0</x:v>
      </x:c>
      <x:c r="AB93" s="168"/>
      <x:c r="AC93" s="168"/>
      <x:c r="AD93" s="169"/>
      <x:c r="AE93" s="167" t="str">
        <x:f>IF(X93=0,"",IF(OR(U93&gt;0,Listas!$B$13&lt;&gt;"OK"),"Dados pendentes",IF(J93&lt;=0,"Sem saldo",IF(N93="VENCIDO","Vencidos",IF(OR(M93="Quarentena",M93="Bloqueado"),"Restritos vigentes",IF(OR(N93="CRÍTICO",N93="VENCE NA JANELA"),"Liberados na janela","Demais liberados"))))))</x:f>
      </x:c>
      <x:c r="AF93" s="167" t="str">
        <x:f>IF(A93&lt;&gt;"",A93,IF(U93&gt;0,"Sem ID (linha "&amp;ROW()&amp;")",""))</x:f>
      </x:c>
      <x:c r="AG93" s="167" t="str">
        <x:f>IF(AD93="","",IF(OR(NOT(ISNUMBER(AD93)),AD93&lt;=0),"Prazo da ação inválido",""))</x:f>
      </x:c>
      <x:c r="AH93" s="167" t="n">
        <x:f>IF(AG93="",0,1)</x:f>
        <x:v>0</x:v>
      </x:c>
    </x:row>
    <x:row r="94" ht="32" customHeight="1">
      <x:c r="A94" s="27"/>
      <x:c r="B94" s="27"/>
      <x:c r="C94" s="40" t="str">
        <x:f>IF($B94="","",IFERROR(INDEX(Produtos!$B$5:$B$204,MATCH($B94,Produtos!$A$5:$A$204,0)),""))</x:f>
      </x:c>
      <x:c r="D94" s="170"/>
      <x:c r="E94" s="179"/>
      <x:c r="F94" s="179"/>
      <x:c r="G94" s="179"/>
      <x:c r="H94" s="40" t="str">
        <x:f>IF(A94="","",IF(OR(S94&lt;&gt;"",Listas!$B$13&lt;&gt;"OK"),"n.a.",G94-Listas!$B$6))</x:f>
      </x:c>
      <x:c r="I94" s="40"/>
      <x:c r="J94" s="40" t="str">
        <x:f>IF(A94="","",IF(OR(S94&lt;&gt;"",T94&gt;0,Listas!$B$13&lt;&gt;"OK"),"n.a.",SUMIFS(Movimentacoes!$H$5:$H$304,Movimentacoes!$D$5:$D$304,A94,Movimentacoes!$B$5:$B$304,"&lt;="&amp;Listas!$B$6)))</x:f>
      </x:c>
      <x:c r="K94" s="180"/>
      <x:c r="L94" s="181" t="str">
        <x:f>IF(A94="","",IF(OR(U94&gt;0,Listas!$B$13&lt;&gt;"OK"),"n.a.",J94*K94))</x:f>
      </x:c>
      <x:c r="M94" s="27"/>
      <x:c r="N94" s="40" t="str">
        <x:f>IF(A94="","",IF(OR(U94&gt;0,Listas!$B$13&lt;&gt;"OK"),"REVISAR DADOS",IF(J94=0,"SEM SALDO",IF(G94&lt;Listas!$B$6,"VENCIDO",IF(H94&lt;=Listas!$B$7,"CRÍTICO",IF(H94&lt;=Listas!$B$8,"VENCE NA JANELA","OK"))))))</x:f>
      </x:c>
      <x:c r="O94" s="41" t="str">
        <x:f>IF(A94="","",IF(AND(ISNUMBER(V94),V94&gt;0),G94,""))</x:f>
      </x:c>
      <x:c r="P94" s="40" t="str">
        <x:f>IF(A94="","",IF(OR(U94&gt;0,Listas!$B$13&lt;&gt;"OK"),"REVISAR DADOS",IF(J94=0,"ARQUIVAR LOTE",IF(M94="Quarentena","DECIDIR LIBERAÇÃO",IF(M94="Bloqueado","SEGREGAR E INVESTIGAR",IF(M94="Esgotado","REVISAR STATUS COM SALDO",IF(N94="VENCIDO","SEGREGAR E AVALIAR DESTINAÇÃO",IF(OR(N94="CRÍTICO",N94="VENCE NA JANELA"),"PRIORIZAR FEFO","MANTER ROTAÇÃO"))))))))</x:f>
      </x:c>
      <x:c r="Q94" s="27"/>
      <x:c r="R94" s="181" t="str">
        <x:f>IF(A94="","",IF(OR(U94&gt;0,Listas!$B$13&lt;&gt;"OK"),"n.a.",IF(OR(N94="VENCIDO",N94="CRÍTICO",N94="VENCE NA JANELA",M94="Quarentena",M94="Bloqueado"),L94,0)))</x:f>
      </x:c>
      <x:c r="S94" s="163" t="str">
        <x:f>IF(COUNTA(A94:B94,D94:G94,I94,K94,M94,Q94,AB94:AD94)=0,"",IF(OR(A94="",COUNTIFS($A$5:$A$204,A94)&lt;&gt;1),"Lote ausente ou duplicado",IF(OR(B94="",COUNTIFS(Produtos!$A$5:$A$204,B94)&lt;&gt;1),"SKU ausente ou desconhecido",IF(COUNTIFS(Produtos!$A$5:$A$204,B94,Produtos!$R$5:$R$204,1)&gt;0,"Revisar cadastro do produto",IF(OR(NOT(ISNUMBER(E94)),E94&lt;=0,NOT(ISNUMBER(G94)),G94&lt;=0,G94&lt;E94),"Recebimento ou validade inválida",IF(AND(F94&lt;&gt;"",OR(NOT(ISNUMBER(F94)),F94&lt;=0,F94&gt;E94)),"Fabricação inválida ou posterior ao recebimento",IF(OR(NOT(ISNUMBER(K94)),K94&lt;0,NOT(ISNUMBER(I94)),I94&lt;0),"Quantidade recebida ou custo inválido",IF(AND(M94&lt;&gt;"Liberado",M94&lt;&gt;"Quarentena",M94&lt;&gt;"Bloqueado",M94&lt;&gt;"Esgotado"),"Status de lote inválido",""))))))))</x:f>
      </x:c>
      <x:c r="T94" s="163" t="n">
        <x:f>IF(A94="",0,COUNTIFS(Movimentacoes!$D$5:$D$304,A94,Movimentacoes!$P$5:$P$304,1))</x:f>
        <x:v>0</x:v>
      </x:c>
      <x:c r="U94" s="163" t="n">
        <x:f>IF(COUNTA(A94:B94,D94:G94,I94,K94,M94,Q94,AB94:AD94)=0,0,IF(OR(S94&lt;&gt;"",T94&gt;0),1,IF(ISNUMBER(J94),IF(OR(J94&lt;0,AND(J94&gt;0,M94="Esgotado")),1,0),0)))</x:f>
        <x:v>0</x:v>
      </x:c>
      <x:c r="V94" s="163" t="str">
        <x:f>IF(A94="","",IF(OR(U94&gt;0,Listas!$B$13&lt;&gt;"OK"),"n.a.",IF(AND(J94&gt;0,M94="Liberado",G94&gt;=Listas!$B$6),J94,0)))</x:f>
      </x:c>
      <x:c r="W94" s="163" t="str">
        <x:f>IF(A94="","",IF(OR(U94&gt;0,Listas!$B$13&lt;&gt;"OK"),"n.a.",V94*K94))</x:f>
      </x:c>
      <x:c r="X94" s="167" t="n">
        <x:f>IF(COUNTA(A94:B94,D94:G94,I94,K94,M94,Q94,AB94:AD94)=0,0,IF(OR(Listas!$B$19="Todos",B94=Listas!$B$19,COUNTIFS(Produtos!$A$5:$A$204,B94)&lt;&gt;1),1,0))</x:f>
        <x:v>0</x:v>
      </x:c>
      <x:c r="Y94" s="167" t="str">
        <x:f>IF(X94=0,"",IF(Listas!$B$13&lt;&gt;"OK","Revisar parâmetros",IF(U94&gt;0,IF(S94&lt;&gt;"",S94,IF(T94&gt;0,"Revisar movimentos",IF(AND(ISNUMBER(J94),J94&lt;0),"Saldo negativo","Status esgotado com saldo"))),IF(AG94&lt;&gt;"",AG94&amp;". ","")&amp;IF(J94&lt;=0,"",IF(N94="VENCIDO","Validade vencida. ","")&amp;IF(M94="Quarentena","Em quarentena. ","")&amp;IF(M94="Bloqueado","Lote bloqueado. ","")&amp;IF(N94="CRÍTICO","Validade crítica. ","")&amp;IF(N94="VENCE NA JANELA","Vence na janela. ","")))))</x:f>
      </x:c>
      <x:c r="Z94" s="167" t="n">
        <x:f>IF(OR(X94=0,Y94=""),0,IF(OR(Listas!$B$13&lt;&gt;"OK",U94&gt;0,AH94&gt;0),1,IF(N94="VENCIDO",2,IF(OR(M94="Quarentena",M94="Bloqueado"),3,IF(N94="CRÍTICO",4,5)))))</x:f>
        <x:v>0</x:v>
      </x:c>
      <x:c r="AA94" s="167" t="n">
        <x:f>IF(Z94=0,0,COUNTIFS($Z$5:$Z$204,"&gt;0",$Z$5:$Z$204,"&lt;"&amp;Z94,$X$5:$X$204,1)+COUNTIFS($Z$5:Z94,Z94,$X$5:X94,1))</x:f>
        <x:v>0</x:v>
      </x:c>
      <x:c r="AB94" s="168"/>
      <x:c r="AC94" s="168"/>
      <x:c r="AD94" s="169"/>
      <x:c r="AE94" s="167" t="str">
        <x:f>IF(X94=0,"",IF(OR(U94&gt;0,Listas!$B$13&lt;&gt;"OK"),"Dados pendentes",IF(J94&lt;=0,"Sem saldo",IF(N94="VENCIDO","Vencidos",IF(OR(M94="Quarentena",M94="Bloqueado"),"Restritos vigentes",IF(OR(N94="CRÍTICO",N94="VENCE NA JANELA"),"Liberados na janela","Demais liberados"))))))</x:f>
      </x:c>
      <x:c r="AF94" s="167" t="str">
        <x:f>IF(A94&lt;&gt;"",A94,IF(U94&gt;0,"Sem ID (linha "&amp;ROW()&amp;")",""))</x:f>
      </x:c>
      <x:c r="AG94" s="167" t="str">
        <x:f>IF(AD94="","",IF(OR(NOT(ISNUMBER(AD94)),AD94&lt;=0),"Prazo da ação inválido",""))</x:f>
      </x:c>
      <x:c r="AH94" s="167" t="n">
        <x:f>IF(AG94="",0,1)</x:f>
        <x:v>0</x:v>
      </x:c>
    </x:row>
    <x:row r="95" ht="32" customHeight="1">
      <x:c r="A95" s="27"/>
      <x:c r="B95" s="27"/>
      <x:c r="C95" s="40" t="str">
        <x:f>IF($B95="","",IFERROR(INDEX(Produtos!$B$5:$B$204,MATCH($B95,Produtos!$A$5:$A$204,0)),""))</x:f>
      </x:c>
      <x:c r="D95" s="170"/>
      <x:c r="E95" s="179"/>
      <x:c r="F95" s="179"/>
      <x:c r="G95" s="179"/>
      <x:c r="H95" s="40" t="str">
        <x:f>IF(A95="","",IF(OR(S95&lt;&gt;"",Listas!$B$13&lt;&gt;"OK"),"n.a.",G95-Listas!$B$6))</x:f>
      </x:c>
      <x:c r="I95" s="40"/>
      <x:c r="J95" s="40" t="str">
        <x:f>IF(A95="","",IF(OR(S95&lt;&gt;"",T95&gt;0,Listas!$B$13&lt;&gt;"OK"),"n.a.",SUMIFS(Movimentacoes!$H$5:$H$304,Movimentacoes!$D$5:$D$304,A95,Movimentacoes!$B$5:$B$304,"&lt;="&amp;Listas!$B$6)))</x:f>
      </x:c>
      <x:c r="K95" s="180"/>
      <x:c r="L95" s="181" t="str">
        <x:f>IF(A95="","",IF(OR(U95&gt;0,Listas!$B$13&lt;&gt;"OK"),"n.a.",J95*K95))</x:f>
      </x:c>
      <x:c r="M95" s="27"/>
      <x:c r="N95" s="40" t="str">
        <x:f>IF(A95="","",IF(OR(U95&gt;0,Listas!$B$13&lt;&gt;"OK"),"REVISAR DADOS",IF(J95=0,"SEM SALDO",IF(G95&lt;Listas!$B$6,"VENCIDO",IF(H95&lt;=Listas!$B$7,"CRÍTICO",IF(H95&lt;=Listas!$B$8,"VENCE NA JANELA","OK"))))))</x:f>
      </x:c>
      <x:c r="O95" s="41" t="str">
        <x:f>IF(A95="","",IF(AND(ISNUMBER(V95),V95&gt;0),G95,""))</x:f>
      </x:c>
      <x:c r="P95" s="40" t="str">
        <x:f>IF(A95="","",IF(OR(U95&gt;0,Listas!$B$13&lt;&gt;"OK"),"REVISAR DADOS",IF(J95=0,"ARQUIVAR LOTE",IF(M95="Quarentena","DECIDIR LIBERAÇÃO",IF(M95="Bloqueado","SEGREGAR E INVESTIGAR",IF(M95="Esgotado","REVISAR STATUS COM SALDO",IF(N95="VENCIDO","SEGREGAR E AVALIAR DESTINAÇÃO",IF(OR(N95="CRÍTICO",N95="VENCE NA JANELA"),"PRIORIZAR FEFO","MANTER ROTAÇÃO"))))))))</x:f>
      </x:c>
      <x:c r="Q95" s="27"/>
      <x:c r="R95" s="181" t="str">
        <x:f>IF(A95="","",IF(OR(U95&gt;0,Listas!$B$13&lt;&gt;"OK"),"n.a.",IF(OR(N95="VENCIDO",N95="CRÍTICO",N95="VENCE NA JANELA",M95="Quarentena",M95="Bloqueado"),L95,0)))</x:f>
      </x:c>
      <x:c r="S95" s="163" t="str">
        <x:f>IF(COUNTA(A95:B95,D95:G95,I95,K95,M95,Q95,AB95:AD95)=0,"",IF(OR(A95="",COUNTIFS($A$5:$A$204,A95)&lt;&gt;1),"Lote ausente ou duplicado",IF(OR(B95="",COUNTIFS(Produtos!$A$5:$A$204,B95)&lt;&gt;1),"SKU ausente ou desconhecido",IF(COUNTIFS(Produtos!$A$5:$A$204,B95,Produtos!$R$5:$R$204,1)&gt;0,"Revisar cadastro do produto",IF(OR(NOT(ISNUMBER(E95)),E95&lt;=0,NOT(ISNUMBER(G95)),G95&lt;=0,G95&lt;E95),"Recebimento ou validade inválida",IF(AND(F95&lt;&gt;"",OR(NOT(ISNUMBER(F95)),F95&lt;=0,F95&gt;E95)),"Fabricação inválida ou posterior ao recebimento",IF(OR(NOT(ISNUMBER(K95)),K95&lt;0,NOT(ISNUMBER(I95)),I95&lt;0),"Quantidade recebida ou custo inválido",IF(AND(M95&lt;&gt;"Liberado",M95&lt;&gt;"Quarentena",M95&lt;&gt;"Bloqueado",M95&lt;&gt;"Esgotado"),"Status de lote inválido",""))))))))</x:f>
      </x:c>
      <x:c r="T95" s="163" t="n">
        <x:f>IF(A95="",0,COUNTIFS(Movimentacoes!$D$5:$D$304,A95,Movimentacoes!$P$5:$P$304,1))</x:f>
        <x:v>0</x:v>
      </x:c>
      <x:c r="U95" s="163" t="n">
        <x:f>IF(COUNTA(A95:B95,D95:G95,I95,K95,M95,Q95,AB95:AD95)=0,0,IF(OR(S95&lt;&gt;"",T95&gt;0),1,IF(ISNUMBER(J95),IF(OR(J95&lt;0,AND(J95&gt;0,M95="Esgotado")),1,0),0)))</x:f>
        <x:v>0</x:v>
      </x:c>
      <x:c r="V95" s="163" t="str">
        <x:f>IF(A95="","",IF(OR(U95&gt;0,Listas!$B$13&lt;&gt;"OK"),"n.a.",IF(AND(J95&gt;0,M95="Liberado",G95&gt;=Listas!$B$6),J95,0)))</x:f>
      </x:c>
      <x:c r="W95" s="163" t="str">
        <x:f>IF(A95="","",IF(OR(U95&gt;0,Listas!$B$13&lt;&gt;"OK"),"n.a.",V95*K95))</x:f>
      </x:c>
      <x:c r="X95" s="167" t="n">
        <x:f>IF(COUNTA(A95:B95,D95:G95,I95,K95,M95,Q95,AB95:AD95)=0,0,IF(OR(Listas!$B$19="Todos",B95=Listas!$B$19,COUNTIFS(Produtos!$A$5:$A$204,B95)&lt;&gt;1),1,0))</x:f>
        <x:v>0</x:v>
      </x:c>
      <x:c r="Y95" s="167" t="str">
        <x:f>IF(X95=0,"",IF(Listas!$B$13&lt;&gt;"OK","Revisar parâmetros",IF(U95&gt;0,IF(S95&lt;&gt;"",S95,IF(T95&gt;0,"Revisar movimentos",IF(AND(ISNUMBER(J95),J95&lt;0),"Saldo negativo","Status esgotado com saldo"))),IF(AG95&lt;&gt;"",AG95&amp;". ","")&amp;IF(J95&lt;=0,"",IF(N95="VENCIDO","Validade vencida. ","")&amp;IF(M95="Quarentena","Em quarentena. ","")&amp;IF(M95="Bloqueado","Lote bloqueado. ","")&amp;IF(N95="CRÍTICO","Validade crítica. ","")&amp;IF(N95="VENCE NA JANELA","Vence na janela. ","")))))</x:f>
      </x:c>
      <x:c r="Z95" s="167" t="n">
        <x:f>IF(OR(X95=0,Y95=""),0,IF(OR(Listas!$B$13&lt;&gt;"OK",U95&gt;0,AH95&gt;0),1,IF(N95="VENCIDO",2,IF(OR(M95="Quarentena",M95="Bloqueado"),3,IF(N95="CRÍTICO",4,5)))))</x:f>
        <x:v>0</x:v>
      </x:c>
      <x:c r="AA95" s="167" t="n">
        <x:f>IF(Z95=0,0,COUNTIFS($Z$5:$Z$204,"&gt;0",$Z$5:$Z$204,"&lt;"&amp;Z95,$X$5:$X$204,1)+COUNTIFS($Z$5:Z95,Z95,$X$5:X95,1))</x:f>
        <x:v>0</x:v>
      </x:c>
      <x:c r="AB95" s="168"/>
      <x:c r="AC95" s="168"/>
      <x:c r="AD95" s="169"/>
      <x:c r="AE95" s="167" t="str">
        <x:f>IF(X95=0,"",IF(OR(U95&gt;0,Listas!$B$13&lt;&gt;"OK"),"Dados pendentes",IF(J95&lt;=0,"Sem saldo",IF(N95="VENCIDO","Vencidos",IF(OR(M95="Quarentena",M95="Bloqueado"),"Restritos vigentes",IF(OR(N95="CRÍTICO",N95="VENCE NA JANELA"),"Liberados na janela","Demais liberados"))))))</x:f>
      </x:c>
      <x:c r="AF95" s="167" t="str">
        <x:f>IF(A95&lt;&gt;"",A95,IF(U95&gt;0,"Sem ID (linha "&amp;ROW()&amp;")",""))</x:f>
      </x:c>
      <x:c r="AG95" s="167" t="str">
        <x:f>IF(AD95="","",IF(OR(NOT(ISNUMBER(AD95)),AD95&lt;=0),"Prazo da ação inválido",""))</x:f>
      </x:c>
      <x:c r="AH95" s="167" t="n">
        <x:f>IF(AG95="",0,1)</x:f>
        <x:v>0</x:v>
      </x:c>
    </x:row>
    <x:row r="96" ht="32" customHeight="1">
      <x:c r="A96" s="27"/>
      <x:c r="B96" s="27"/>
      <x:c r="C96" s="40" t="str">
        <x:f>IF($B96="","",IFERROR(INDEX(Produtos!$B$5:$B$204,MATCH($B96,Produtos!$A$5:$A$204,0)),""))</x:f>
      </x:c>
      <x:c r="D96" s="170"/>
      <x:c r="E96" s="179"/>
      <x:c r="F96" s="179"/>
      <x:c r="G96" s="179"/>
      <x:c r="H96" s="40" t="str">
        <x:f>IF(A96="","",IF(OR(S96&lt;&gt;"",Listas!$B$13&lt;&gt;"OK"),"n.a.",G96-Listas!$B$6))</x:f>
      </x:c>
      <x:c r="I96" s="40"/>
      <x:c r="J96" s="40" t="str">
        <x:f>IF(A96="","",IF(OR(S96&lt;&gt;"",T96&gt;0,Listas!$B$13&lt;&gt;"OK"),"n.a.",SUMIFS(Movimentacoes!$H$5:$H$304,Movimentacoes!$D$5:$D$304,A96,Movimentacoes!$B$5:$B$304,"&lt;="&amp;Listas!$B$6)))</x:f>
      </x:c>
      <x:c r="K96" s="180"/>
      <x:c r="L96" s="181" t="str">
        <x:f>IF(A96="","",IF(OR(U96&gt;0,Listas!$B$13&lt;&gt;"OK"),"n.a.",J96*K96))</x:f>
      </x:c>
      <x:c r="M96" s="27"/>
      <x:c r="N96" s="40" t="str">
        <x:f>IF(A96="","",IF(OR(U96&gt;0,Listas!$B$13&lt;&gt;"OK"),"REVISAR DADOS",IF(J96=0,"SEM SALDO",IF(G96&lt;Listas!$B$6,"VENCIDO",IF(H96&lt;=Listas!$B$7,"CRÍTICO",IF(H96&lt;=Listas!$B$8,"VENCE NA JANELA","OK"))))))</x:f>
      </x:c>
      <x:c r="O96" s="41" t="str">
        <x:f>IF(A96="","",IF(AND(ISNUMBER(V96),V96&gt;0),G96,""))</x:f>
      </x:c>
      <x:c r="P96" s="40" t="str">
        <x:f>IF(A96="","",IF(OR(U96&gt;0,Listas!$B$13&lt;&gt;"OK"),"REVISAR DADOS",IF(J96=0,"ARQUIVAR LOTE",IF(M96="Quarentena","DECIDIR LIBERAÇÃO",IF(M96="Bloqueado","SEGREGAR E INVESTIGAR",IF(M96="Esgotado","REVISAR STATUS COM SALDO",IF(N96="VENCIDO","SEGREGAR E AVALIAR DESTINAÇÃO",IF(OR(N96="CRÍTICO",N96="VENCE NA JANELA"),"PRIORIZAR FEFO","MANTER ROTAÇÃO"))))))))</x:f>
      </x:c>
      <x:c r="Q96" s="27"/>
      <x:c r="R96" s="181" t="str">
        <x:f>IF(A96="","",IF(OR(U96&gt;0,Listas!$B$13&lt;&gt;"OK"),"n.a.",IF(OR(N96="VENCIDO",N96="CRÍTICO",N96="VENCE NA JANELA",M96="Quarentena",M96="Bloqueado"),L96,0)))</x:f>
      </x:c>
      <x:c r="S96" s="163" t="str">
        <x:f>IF(COUNTA(A96:B96,D96:G96,I96,K96,M96,Q96,AB96:AD96)=0,"",IF(OR(A96="",COUNTIFS($A$5:$A$204,A96)&lt;&gt;1),"Lote ausente ou duplicado",IF(OR(B96="",COUNTIFS(Produtos!$A$5:$A$204,B96)&lt;&gt;1),"SKU ausente ou desconhecido",IF(COUNTIFS(Produtos!$A$5:$A$204,B96,Produtos!$R$5:$R$204,1)&gt;0,"Revisar cadastro do produto",IF(OR(NOT(ISNUMBER(E96)),E96&lt;=0,NOT(ISNUMBER(G96)),G96&lt;=0,G96&lt;E96),"Recebimento ou validade inválida",IF(AND(F96&lt;&gt;"",OR(NOT(ISNUMBER(F96)),F96&lt;=0,F96&gt;E96)),"Fabricação inválida ou posterior ao recebimento",IF(OR(NOT(ISNUMBER(K96)),K96&lt;0,NOT(ISNUMBER(I96)),I96&lt;0),"Quantidade recebida ou custo inválido",IF(AND(M96&lt;&gt;"Liberado",M96&lt;&gt;"Quarentena",M96&lt;&gt;"Bloqueado",M96&lt;&gt;"Esgotado"),"Status de lote inválido",""))))))))</x:f>
      </x:c>
      <x:c r="T96" s="163" t="n">
        <x:f>IF(A96="",0,COUNTIFS(Movimentacoes!$D$5:$D$304,A96,Movimentacoes!$P$5:$P$304,1))</x:f>
        <x:v>0</x:v>
      </x:c>
      <x:c r="U96" s="163" t="n">
        <x:f>IF(COUNTA(A96:B96,D96:G96,I96,K96,M96,Q96,AB96:AD96)=0,0,IF(OR(S96&lt;&gt;"",T96&gt;0),1,IF(ISNUMBER(J96),IF(OR(J96&lt;0,AND(J96&gt;0,M96="Esgotado")),1,0),0)))</x:f>
        <x:v>0</x:v>
      </x:c>
      <x:c r="V96" s="163" t="str">
        <x:f>IF(A96="","",IF(OR(U96&gt;0,Listas!$B$13&lt;&gt;"OK"),"n.a.",IF(AND(J96&gt;0,M96="Liberado",G96&gt;=Listas!$B$6),J96,0)))</x:f>
      </x:c>
      <x:c r="W96" s="163" t="str">
        <x:f>IF(A96="","",IF(OR(U96&gt;0,Listas!$B$13&lt;&gt;"OK"),"n.a.",V96*K96))</x:f>
      </x:c>
      <x:c r="X96" s="167" t="n">
        <x:f>IF(COUNTA(A96:B96,D96:G96,I96,K96,M96,Q96,AB96:AD96)=0,0,IF(OR(Listas!$B$19="Todos",B96=Listas!$B$19,COUNTIFS(Produtos!$A$5:$A$204,B96)&lt;&gt;1),1,0))</x:f>
        <x:v>0</x:v>
      </x:c>
      <x:c r="Y96" s="167" t="str">
        <x:f>IF(X96=0,"",IF(Listas!$B$13&lt;&gt;"OK","Revisar parâmetros",IF(U96&gt;0,IF(S96&lt;&gt;"",S96,IF(T96&gt;0,"Revisar movimentos",IF(AND(ISNUMBER(J96),J96&lt;0),"Saldo negativo","Status esgotado com saldo"))),IF(AG96&lt;&gt;"",AG96&amp;". ","")&amp;IF(J96&lt;=0,"",IF(N96="VENCIDO","Validade vencida. ","")&amp;IF(M96="Quarentena","Em quarentena. ","")&amp;IF(M96="Bloqueado","Lote bloqueado. ","")&amp;IF(N96="CRÍTICO","Validade crítica. ","")&amp;IF(N96="VENCE NA JANELA","Vence na janela. ","")))))</x:f>
      </x:c>
      <x:c r="Z96" s="167" t="n">
        <x:f>IF(OR(X96=0,Y96=""),0,IF(OR(Listas!$B$13&lt;&gt;"OK",U96&gt;0,AH96&gt;0),1,IF(N96="VENCIDO",2,IF(OR(M96="Quarentena",M96="Bloqueado"),3,IF(N96="CRÍTICO",4,5)))))</x:f>
        <x:v>0</x:v>
      </x:c>
      <x:c r="AA96" s="167" t="n">
        <x:f>IF(Z96=0,0,COUNTIFS($Z$5:$Z$204,"&gt;0",$Z$5:$Z$204,"&lt;"&amp;Z96,$X$5:$X$204,1)+COUNTIFS($Z$5:Z96,Z96,$X$5:X96,1))</x:f>
        <x:v>0</x:v>
      </x:c>
      <x:c r="AB96" s="168"/>
      <x:c r="AC96" s="168"/>
      <x:c r="AD96" s="169"/>
      <x:c r="AE96" s="167" t="str">
        <x:f>IF(X96=0,"",IF(OR(U96&gt;0,Listas!$B$13&lt;&gt;"OK"),"Dados pendentes",IF(J96&lt;=0,"Sem saldo",IF(N96="VENCIDO","Vencidos",IF(OR(M96="Quarentena",M96="Bloqueado"),"Restritos vigentes",IF(OR(N96="CRÍTICO",N96="VENCE NA JANELA"),"Liberados na janela","Demais liberados"))))))</x:f>
      </x:c>
      <x:c r="AF96" s="167" t="str">
        <x:f>IF(A96&lt;&gt;"",A96,IF(U96&gt;0,"Sem ID (linha "&amp;ROW()&amp;")",""))</x:f>
      </x:c>
      <x:c r="AG96" s="167" t="str">
        <x:f>IF(AD96="","",IF(OR(NOT(ISNUMBER(AD96)),AD96&lt;=0),"Prazo da ação inválido",""))</x:f>
      </x:c>
      <x:c r="AH96" s="167" t="n">
        <x:f>IF(AG96="",0,1)</x:f>
        <x:v>0</x:v>
      </x:c>
    </x:row>
    <x:row r="97" ht="32" customHeight="1">
      <x:c r="A97" s="27"/>
      <x:c r="B97" s="27"/>
      <x:c r="C97" s="40" t="str">
        <x:f>IF($B97="","",IFERROR(INDEX(Produtos!$B$5:$B$204,MATCH($B97,Produtos!$A$5:$A$204,0)),""))</x:f>
      </x:c>
      <x:c r="D97" s="170"/>
      <x:c r="E97" s="179"/>
      <x:c r="F97" s="179"/>
      <x:c r="G97" s="179"/>
      <x:c r="H97" s="40" t="str">
        <x:f>IF(A97="","",IF(OR(S97&lt;&gt;"",Listas!$B$13&lt;&gt;"OK"),"n.a.",G97-Listas!$B$6))</x:f>
      </x:c>
      <x:c r="I97" s="40"/>
      <x:c r="J97" s="40" t="str">
        <x:f>IF(A97="","",IF(OR(S97&lt;&gt;"",T97&gt;0,Listas!$B$13&lt;&gt;"OK"),"n.a.",SUMIFS(Movimentacoes!$H$5:$H$304,Movimentacoes!$D$5:$D$304,A97,Movimentacoes!$B$5:$B$304,"&lt;="&amp;Listas!$B$6)))</x:f>
      </x:c>
      <x:c r="K97" s="180"/>
      <x:c r="L97" s="181" t="str">
        <x:f>IF(A97="","",IF(OR(U97&gt;0,Listas!$B$13&lt;&gt;"OK"),"n.a.",J97*K97))</x:f>
      </x:c>
      <x:c r="M97" s="27"/>
      <x:c r="N97" s="40" t="str">
        <x:f>IF(A97="","",IF(OR(U97&gt;0,Listas!$B$13&lt;&gt;"OK"),"REVISAR DADOS",IF(J97=0,"SEM SALDO",IF(G97&lt;Listas!$B$6,"VENCIDO",IF(H97&lt;=Listas!$B$7,"CRÍTICO",IF(H97&lt;=Listas!$B$8,"VENCE NA JANELA","OK"))))))</x:f>
      </x:c>
      <x:c r="O97" s="41" t="str">
        <x:f>IF(A97="","",IF(AND(ISNUMBER(V97),V97&gt;0),G97,""))</x:f>
      </x:c>
      <x:c r="P97" s="40" t="str">
        <x:f>IF(A97="","",IF(OR(U97&gt;0,Listas!$B$13&lt;&gt;"OK"),"REVISAR DADOS",IF(J97=0,"ARQUIVAR LOTE",IF(M97="Quarentena","DECIDIR LIBERAÇÃO",IF(M97="Bloqueado","SEGREGAR E INVESTIGAR",IF(M97="Esgotado","REVISAR STATUS COM SALDO",IF(N97="VENCIDO","SEGREGAR E AVALIAR DESTINAÇÃO",IF(OR(N97="CRÍTICO",N97="VENCE NA JANELA"),"PRIORIZAR FEFO","MANTER ROTAÇÃO"))))))))</x:f>
      </x:c>
      <x:c r="Q97" s="27"/>
      <x:c r="R97" s="181" t="str">
        <x:f>IF(A97="","",IF(OR(U97&gt;0,Listas!$B$13&lt;&gt;"OK"),"n.a.",IF(OR(N97="VENCIDO",N97="CRÍTICO",N97="VENCE NA JANELA",M97="Quarentena",M97="Bloqueado"),L97,0)))</x:f>
      </x:c>
      <x:c r="S97" s="163" t="str">
        <x:f>IF(COUNTA(A97:B97,D97:G97,I97,K97,M97,Q97,AB97:AD97)=0,"",IF(OR(A97="",COUNTIFS($A$5:$A$204,A97)&lt;&gt;1),"Lote ausente ou duplicado",IF(OR(B97="",COUNTIFS(Produtos!$A$5:$A$204,B97)&lt;&gt;1),"SKU ausente ou desconhecido",IF(COUNTIFS(Produtos!$A$5:$A$204,B97,Produtos!$R$5:$R$204,1)&gt;0,"Revisar cadastro do produto",IF(OR(NOT(ISNUMBER(E97)),E97&lt;=0,NOT(ISNUMBER(G97)),G97&lt;=0,G97&lt;E97),"Recebimento ou validade inválida",IF(AND(F97&lt;&gt;"",OR(NOT(ISNUMBER(F97)),F97&lt;=0,F97&gt;E97)),"Fabricação inválida ou posterior ao recebimento",IF(OR(NOT(ISNUMBER(K97)),K97&lt;0,NOT(ISNUMBER(I97)),I97&lt;0),"Quantidade recebida ou custo inválido",IF(AND(M97&lt;&gt;"Liberado",M97&lt;&gt;"Quarentena",M97&lt;&gt;"Bloqueado",M97&lt;&gt;"Esgotado"),"Status de lote inválido",""))))))))</x:f>
      </x:c>
      <x:c r="T97" s="163" t="n">
        <x:f>IF(A97="",0,COUNTIFS(Movimentacoes!$D$5:$D$304,A97,Movimentacoes!$P$5:$P$304,1))</x:f>
        <x:v>0</x:v>
      </x:c>
      <x:c r="U97" s="163" t="n">
        <x:f>IF(COUNTA(A97:B97,D97:G97,I97,K97,M97,Q97,AB97:AD97)=0,0,IF(OR(S97&lt;&gt;"",T97&gt;0),1,IF(ISNUMBER(J97),IF(OR(J97&lt;0,AND(J97&gt;0,M97="Esgotado")),1,0),0)))</x:f>
        <x:v>0</x:v>
      </x:c>
      <x:c r="V97" s="163" t="str">
        <x:f>IF(A97="","",IF(OR(U97&gt;0,Listas!$B$13&lt;&gt;"OK"),"n.a.",IF(AND(J97&gt;0,M97="Liberado",G97&gt;=Listas!$B$6),J97,0)))</x:f>
      </x:c>
      <x:c r="W97" s="163" t="str">
        <x:f>IF(A97="","",IF(OR(U97&gt;0,Listas!$B$13&lt;&gt;"OK"),"n.a.",V97*K97))</x:f>
      </x:c>
      <x:c r="X97" s="167" t="n">
        <x:f>IF(COUNTA(A97:B97,D97:G97,I97,K97,M97,Q97,AB97:AD97)=0,0,IF(OR(Listas!$B$19="Todos",B97=Listas!$B$19,COUNTIFS(Produtos!$A$5:$A$204,B97)&lt;&gt;1),1,0))</x:f>
        <x:v>0</x:v>
      </x:c>
      <x:c r="Y97" s="167" t="str">
        <x:f>IF(X97=0,"",IF(Listas!$B$13&lt;&gt;"OK","Revisar parâmetros",IF(U97&gt;0,IF(S97&lt;&gt;"",S97,IF(T97&gt;0,"Revisar movimentos",IF(AND(ISNUMBER(J97),J97&lt;0),"Saldo negativo","Status esgotado com saldo"))),IF(AG97&lt;&gt;"",AG97&amp;". ","")&amp;IF(J97&lt;=0,"",IF(N97="VENCIDO","Validade vencida. ","")&amp;IF(M97="Quarentena","Em quarentena. ","")&amp;IF(M97="Bloqueado","Lote bloqueado. ","")&amp;IF(N97="CRÍTICO","Validade crítica. ","")&amp;IF(N97="VENCE NA JANELA","Vence na janela. ","")))))</x:f>
      </x:c>
      <x:c r="Z97" s="167" t="n">
        <x:f>IF(OR(X97=0,Y97=""),0,IF(OR(Listas!$B$13&lt;&gt;"OK",U97&gt;0,AH97&gt;0),1,IF(N97="VENCIDO",2,IF(OR(M97="Quarentena",M97="Bloqueado"),3,IF(N97="CRÍTICO",4,5)))))</x:f>
        <x:v>0</x:v>
      </x:c>
      <x:c r="AA97" s="167" t="n">
        <x:f>IF(Z97=0,0,COUNTIFS($Z$5:$Z$204,"&gt;0",$Z$5:$Z$204,"&lt;"&amp;Z97,$X$5:$X$204,1)+COUNTIFS($Z$5:Z97,Z97,$X$5:X97,1))</x:f>
        <x:v>0</x:v>
      </x:c>
      <x:c r="AB97" s="168"/>
      <x:c r="AC97" s="168"/>
      <x:c r="AD97" s="169"/>
      <x:c r="AE97" s="167" t="str">
        <x:f>IF(X97=0,"",IF(OR(U97&gt;0,Listas!$B$13&lt;&gt;"OK"),"Dados pendentes",IF(J97&lt;=0,"Sem saldo",IF(N97="VENCIDO","Vencidos",IF(OR(M97="Quarentena",M97="Bloqueado"),"Restritos vigentes",IF(OR(N97="CRÍTICO",N97="VENCE NA JANELA"),"Liberados na janela","Demais liberados"))))))</x:f>
      </x:c>
      <x:c r="AF97" s="167" t="str">
        <x:f>IF(A97&lt;&gt;"",A97,IF(U97&gt;0,"Sem ID (linha "&amp;ROW()&amp;")",""))</x:f>
      </x:c>
      <x:c r="AG97" s="167" t="str">
        <x:f>IF(AD97="","",IF(OR(NOT(ISNUMBER(AD97)),AD97&lt;=0),"Prazo da ação inválido",""))</x:f>
      </x:c>
      <x:c r="AH97" s="167" t="n">
        <x:f>IF(AG97="",0,1)</x:f>
        <x:v>0</x:v>
      </x:c>
    </x:row>
    <x:row r="98" ht="32" customHeight="1">
      <x:c r="A98" s="27"/>
      <x:c r="B98" s="27"/>
      <x:c r="C98" s="40" t="str">
        <x:f>IF($B98="","",IFERROR(INDEX(Produtos!$B$5:$B$204,MATCH($B98,Produtos!$A$5:$A$204,0)),""))</x:f>
      </x:c>
      <x:c r="D98" s="170"/>
      <x:c r="E98" s="179"/>
      <x:c r="F98" s="179"/>
      <x:c r="G98" s="179"/>
      <x:c r="H98" s="40" t="str">
        <x:f>IF(A98="","",IF(OR(S98&lt;&gt;"",Listas!$B$13&lt;&gt;"OK"),"n.a.",G98-Listas!$B$6))</x:f>
      </x:c>
      <x:c r="I98" s="40"/>
      <x:c r="J98" s="40" t="str">
        <x:f>IF(A98="","",IF(OR(S98&lt;&gt;"",T98&gt;0,Listas!$B$13&lt;&gt;"OK"),"n.a.",SUMIFS(Movimentacoes!$H$5:$H$304,Movimentacoes!$D$5:$D$304,A98,Movimentacoes!$B$5:$B$304,"&lt;="&amp;Listas!$B$6)))</x:f>
      </x:c>
      <x:c r="K98" s="180"/>
      <x:c r="L98" s="181" t="str">
        <x:f>IF(A98="","",IF(OR(U98&gt;0,Listas!$B$13&lt;&gt;"OK"),"n.a.",J98*K98))</x:f>
      </x:c>
      <x:c r="M98" s="27"/>
      <x:c r="N98" s="40" t="str">
        <x:f>IF(A98="","",IF(OR(U98&gt;0,Listas!$B$13&lt;&gt;"OK"),"REVISAR DADOS",IF(J98=0,"SEM SALDO",IF(G98&lt;Listas!$B$6,"VENCIDO",IF(H98&lt;=Listas!$B$7,"CRÍTICO",IF(H98&lt;=Listas!$B$8,"VENCE NA JANELA","OK"))))))</x:f>
      </x:c>
      <x:c r="O98" s="41" t="str">
        <x:f>IF(A98="","",IF(AND(ISNUMBER(V98),V98&gt;0),G98,""))</x:f>
      </x:c>
      <x:c r="P98" s="40" t="str">
        <x:f>IF(A98="","",IF(OR(U98&gt;0,Listas!$B$13&lt;&gt;"OK"),"REVISAR DADOS",IF(J98=0,"ARQUIVAR LOTE",IF(M98="Quarentena","DECIDIR LIBERAÇÃO",IF(M98="Bloqueado","SEGREGAR E INVESTIGAR",IF(M98="Esgotado","REVISAR STATUS COM SALDO",IF(N98="VENCIDO","SEGREGAR E AVALIAR DESTINAÇÃO",IF(OR(N98="CRÍTICO",N98="VENCE NA JANELA"),"PRIORIZAR FEFO","MANTER ROTAÇÃO"))))))))</x:f>
      </x:c>
      <x:c r="Q98" s="27"/>
      <x:c r="R98" s="181" t="str">
        <x:f>IF(A98="","",IF(OR(U98&gt;0,Listas!$B$13&lt;&gt;"OK"),"n.a.",IF(OR(N98="VENCIDO",N98="CRÍTICO",N98="VENCE NA JANELA",M98="Quarentena",M98="Bloqueado"),L98,0)))</x:f>
      </x:c>
      <x:c r="S98" s="163" t="str">
        <x:f>IF(COUNTA(A98:B98,D98:G98,I98,K98,M98,Q98,AB98:AD98)=0,"",IF(OR(A98="",COUNTIFS($A$5:$A$204,A98)&lt;&gt;1),"Lote ausente ou duplicado",IF(OR(B98="",COUNTIFS(Produtos!$A$5:$A$204,B98)&lt;&gt;1),"SKU ausente ou desconhecido",IF(COUNTIFS(Produtos!$A$5:$A$204,B98,Produtos!$R$5:$R$204,1)&gt;0,"Revisar cadastro do produto",IF(OR(NOT(ISNUMBER(E98)),E98&lt;=0,NOT(ISNUMBER(G98)),G98&lt;=0,G98&lt;E98),"Recebimento ou validade inválida",IF(AND(F98&lt;&gt;"",OR(NOT(ISNUMBER(F98)),F98&lt;=0,F98&gt;E98)),"Fabricação inválida ou posterior ao recebimento",IF(OR(NOT(ISNUMBER(K98)),K98&lt;0,NOT(ISNUMBER(I98)),I98&lt;0),"Quantidade recebida ou custo inválido",IF(AND(M98&lt;&gt;"Liberado",M98&lt;&gt;"Quarentena",M98&lt;&gt;"Bloqueado",M98&lt;&gt;"Esgotado"),"Status de lote inválido",""))))))))</x:f>
      </x:c>
      <x:c r="T98" s="163" t="n">
        <x:f>IF(A98="",0,COUNTIFS(Movimentacoes!$D$5:$D$304,A98,Movimentacoes!$P$5:$P$304,1))</x:f>
        <x:v>0</x:v>
      </x:c>
      <x:c r="U98" s="163" t="n">
        <x:f>IF(COUNTA(A98:B98,D98:G98,I98,K98,M98,Q98,AB98:AD98)=0,0,IF(OR(S98&lt;&gt;"",T98&gt;0),1,IF(ISNUMBER(J98),IF(OR(J98&lt;0,AND(J98&gt;0,M98="Esgotado")),1,0),0)))</x:f>
        <x:v>0</x:v>
      </x:c>
      <x:c r="V98" s="163" t="str">
        <x:f>IF(A98="","",IF(OR(U98&gt;0,Listas!$B$13&lt;&gt;"OK"),"n.a.",IF(AND(J98&gt;0,M98="Liberado",G98&gt;=Listas!$B$6),J98,0)))</x:f>
      </x:c>
      <x:c r="W98" s="163" t="str">
        <x:f>IF(A98="","",IF(OR(U98&gt;0,Listas!$B$13&lt;&gt;"OK"),"n.a.",V98*K98))</x:f>
      </x:c>
      <x:c r="X98" s="167" t="n">
        <x:f>IF(COUNTA(A98:B98,D98:G98,I98,K98,M98,Q98,AB98:AD98)=0,0,IF(OR(Listas!$B$19="Todos",B98=Listas!$B$19,COUNTIFS(Produtos!$A$5:$A$204,B98)&lt;&gt;1),1,0))</x:f>
        <x:v>0</x:v>
      </x:c>
      <x:c r="Y98" s="167" t="str">
        <x:f>IF(X98=0,"",IF(Listas!$B$13&lt;&gt;"OK","Revisar parâmetros",IF(U98&gt;0,IF(S98&lt;&gt;"",S98,IF(T98&gt;0,"Revisar movimentos",IF(AND(ISNUMBER(J98),J98&lt;0),"Saldo negativo","Status esgotado com saldo"))),IF(AG98&lt;&gt;"",AG98&amp;". ","")&amp;IF(J98&lt;=0,"",IF(N98="VENCIDO","Validade vencida. ","")&amp;IF(M98="Quarentena","Em quarentena. ","")&amp;IF(M98="Bloqueado","Lote bloqueado. ","")&amp;IF(N98="CRÍTICO","Validade crítica. ","")&amp;IF(N98="VENCE NA JANELA","Vence na janela. ","")))))</x:f>
      </x:c>
      <x:c r="Z98" s="167" t="n">
        <x:f>IF(OR(X98=0,Y98=""),0,IF(OR(Listas!$B$13&lt;&gt;"OK",U98&gt;0,AH98&gt;0),1,IF(N98="VENCIDO",2,IF(OR(M98="Quarentena",M98="Bloqueado"),3,IF(N98="CRÍTICO",4,5)))))</x:f>
        <x:v>0</x:v>
      </x:c>
      <x:c r="AA98" s="167" t="n">
        <x:f>IF(Z98=0,0,COUNTIFS($Z$5:$Z$204,"&gt;0",$Z$5:$Z$204,"&lt;"&amp;Z98,$X$5:$X$204,1)+COUNTIFS($Z$5:Z98,Z98,$X$5:X98,1))</x:f>
        <x:v>0</x:v>
      </x:c>
      <x:c r="AB98" s="168"/>
      <x:c r="AC98" s="168"/>
      <x:c r="AD98" s="169"/>
      <x:c r="AE98" s="167" t="str">
        <x:f>IF(X98=0,"",IF(OR(U98&gt;0,Listas!$B$13&lt;&gt;"OK"),"Dados pendentes",IF(J98&lt;=0,"Sem saldo",IF(N98="VENCIDO","Vencidos",IF(OR(M98="Quarentena",M98="Bloqueado"),"Restritos vigentes",IF(OR(N98="CRÍTICO",N98="VENCE NA JANELA"),"Liberados na janela","Demais liberados"))))))</x:f>
      </x:c>
      <x:c r="AF98" s="167" t="str">
        <x:f>IF(A98&lt;&gt;"",A98,IF(U98&gt;0,"Sem ID (linha "&amp;ROW()&amp;")",""))</x:f>
      </x:c>
      <x:c r="AG98" s="167" t="str">
        <x:f>IF(AD98="","",IF(OR(NOT(ISNUMBER(AD98)),AD98&lt;=0),"Prazo da ação inválido",""))</x:f>
      </x:c>
      <x:c r="AH98" s="167" t="n">
        <x:f>IF(AG98="",0,1)</x:f>
        <x:v>0</x:v>
      </x:c>
    </x:row>
    <x:row r="99" ht="32" customHeight="1">
      <x:c r="A99" s="27"/>
      <x:c r="B99" s="27"/>
      <x:c r="C99" s="40" t="str">
        <x:f>IF($B99="","",IFERROR(INDEX(Produtos!$B$5:$B$204,MATCH($B99,Produtos!$A$5:$A$204,0)),""))</x:f>
      </x:c>
      <x:c r="D99" s="170"/>
      <x:c r="E99" s="179"/>
      <x:c r="F99" s="179"/>
      <x:c r="G99" s="179"/>
      <x:c r="H99" s="40" t="str">
        <x:f>IF(A99="","",IF(OR(S99&lt;&gt;"",Listas!$B$13&lt;&gt;"OK"),"n.a.",G99-Listas!$B$6))</x:f>
      </x:c>
      <x:c r="I99" s="40"/>
      <x:c r="J99" s="40" t="str">
        <x:f>IF(A99="","",IF(OR(S99&lt;&gt;"",T99&gt;0,Listas!$B$13&lt;&gt;"OK"),"n.a.",SUMIFS(Movimentacoes!$H$5:$H$304,Movimentacoes!$D$5:$D$304,A99,Movimentacoes!$B$5:$B$304,"&lt;="&amp;Listas!$B$6)))</x:f>
      </x:c>
      <x:c r="K99" s="180"/>
      <x:c r="L99" s="181" t="str">
        <x:f>IF(A99="","",IF(OR(U99&gt;0,Listas!$B$13&lt;&gt;"OK"),"n.a.",J99*K99))</x:f>
      </x:c>
      <x:c r="M99" s="27"/>
      <x:c r="N99" s="40" t="str">
        <x:f>IF(A99="","",IF(OR(U99&gt;0,Listas!$B$13&lt;&gt;"OK"),"REVISAR DADOS",IF(J99=0,"SEM SALDO",IF(G99&lt;Listas!$B$6,"VENCIDO",IF(H99&lt;=Listas!$B$7,"CRÍTICO",IF(H99&lt;=Listas!$B$8,"VENCE NA JANELA","OK"))))))</x:f>
      </x:c>
      <x:c r="O99" s="41" t="str">
        <x:f>IF(A99="","",IF(AND(ISNUMBER(V99),V99&gt;0),G99,""))</x:f>
      </x:c>
      <x:c r="P99" s="40" t="str">
        <x:f>IF(A99="","",IF(OR(U99&gt;0,Listas!$B$13&lt;&gt;"OK"),"REVISAR DADOS",IF(J99=0,"ARQUIVAR LOTE",IF(M99="Quarentena","DECIDIR LIBERAÇÃO",IF(M99="Bloqueado","SEGREGAR E INVESTIGAR",IF(M99="Esgotado","REVISAR STATUS COM SALDO",IF(N99="VENCIDO","SEGREGAR E AVALIAR DESTINAÇÃO",IF(OR(N99="CRÍTICO",N99="VENCE NA JANELA"),"PRIORIZAR FEFO","MANTER ROTAÇÃO"))))))))</x:f>
      </x:c>
      <x:c r="Q99" s="27"/>
      <x:c r="R99" s="181" t="str">
        <x:f>IF(A99="","",IF(OR(U99&gt;0,Listas!$B$13&lt;&gt;"OK"),"n.a.",IF(OR(N99="VENCIDO",N99="CRÍTICO",N99="VENCE NA JANELA",M99="Quarentena",M99="Bloqueado"),L99,0)))</x:f>
      </x:c>
      <x:c r="S99" s="163" t="str">
        <x:f>IF(COUNTA(A99:B99,D99:G99,I99,K99,M99,Q99,AB99:AD99)=0,"",IF(OR(A99="",COUNTIFS($A$5:$A$204,A99)&lt;&gt;1),"Lote ausente ou duplicado",IF(OR(B99="",COUNTIFS(Produtos!$A$5:$A$204,B99)&lt;&gt;1),"SKU ausente ou desconhecido",IF(COUNTIFS(Produtos!$A$5:$A$204,B99,Produtos!$R$5:$R$204,1)&gt;0,"Revisar cadastro do produto",IF(OR(NOT(ISNUMBER(E99)),E99&lt;=0,NOT(ISNUMBER(G99)),G99&lt;=0,G99&lt;E99),"Recebimento ou validade inválida",IF(AND(F99&lt;&gt;"",OR(NOT(ISNUMBER(F99)),F99&lt;=0,F99&gt;E99)),"Fabricação inválida ou posterior ao recebimento",IF(OR(NOT(ISNUMBER(K99)),K99&lt;0,NOT(ISNUMBER(I99)),I99&lt;0),"Quantidade recebida ou custo inválido",IF(AND(M99&lt;&gt;"Liberado",M99&lt;&gt;"Quarentena",M99&lt;&gt;"Bloqueado",M99&lt;&gt;"Esgotado"),"Status de lote inválido",""))))))))</x:f>
      </x:c>
      <x:c r="T99" s="163" t="n">
        <x:f>IF(A99="",0,COUNTIFS(Movimentacoes!$D$5:$D$304,A99,Movimentacoes!$P$5:$P$304,1))</x:f>
        <x:v>0</x:v>
      </x:c>
      <x:c r="U99" s="163" t="n">
        <x:f>IF(COUNTA(A99:B99,D99:G99,I99,K99,M99,Q99,AB99:AD99)=0,0,IF(OR(S99&lt;&gt;"",T99&gt;0),1,IF(ISNUMBER(J99),IF(OR(J99&lt;0,AND(J99&gt;0,M99="Esgotado")),1,0),0)))</x:f>
        <x:v>0</x:v>
      </x:c>
      <x:c r="V99" s="163" t="str">
        <x:f>IF(A99="","",IF(OR(U99&gt;0,Listas!$B$13&lt;&gt;"OK"),"n.a.",IF(AND(J99&gt;0,M99="Liberado",G99&gt;=Listas!$B$6),J99,0)))</x:f>
      </x:c>
      <x:c r="W99" s="163" t="str">
        <x:f>IF(A99="","",IF(OR(U99&gt;0,Listas!$B$13&lt;&gt;"OK"),"n.a.",V99*K99))</x:f>
      </x:c>
      <x:c r="X99" s="167" t="n">
        <x:f>IF(COUNTA(A99:B99,D99:G99,I99,K99,M99,Q99,AB99:AD99)=0,0,IF(OR(Listas!$B$19="Todos",B99=Listas!$B$19,COUNTIFS(Produtos!$A$5:$A$204,B99)&lt;&gt;1),1,0))</x:f>
        <x:v>0</x:v>
      </x:c>
      <x:c r="Y99" s="167" t="str">
        <x:f>IF(X99=0,"",IF(Listas!$B$13&lt;&gt;"OK","Revisar parâmetros",IF(U99&gt;0,IF(S99&lt;&gt;"",S99,IF(T99&gt;0,"Revisar movimentos",IF(AND(ISNUMBER(J99),J99&lt;0),"Saldo negativo","Status esgotado com saldo"))),IF(AG99&lt;&gt;"",AG99&amp;". ","")&amp;IF(J99&lt;=0,"",IF(N99="VENCIDO","Validade vencida. ","")&amp;IF(M99="Quarentena","Em quarentena. ","")&amp;IF(M99="Bloqueado","Lote bloqueado. ","")&amp;IF(N99="CRÍTICO","Validade crítica. ","")&amp;IF(N99="VENCE NA JANELA","Vence na janela. ","")))))</x:f>
      </x:c>
      <x:c r="Z99" s="167" t="n">
        <x:f>IF(OR(X99=0,Y99=""),0,IF(OR(Listas!$B$13&lt;&gt;"OK",U99&gt;0,AH99&gt;0),1,IF(N99="VENCIDO",2,IF(OR(M99="Quarentena",M99="Bloqueado"),3,IF(N99="CRÍTICO",4,5)))))</x:f>
        <x:v>0</x:v>
      </x:c>
      <x:c r="AA99" s="167" t="n">
        <x:f>IF(Z99=0,0,COUNTIFS($Z$5:$Z$204,"&gt;0",$Z$5:$Z$204,"&lt;"&amp;Z99,$X$5:$X$204,1)+COUNTIFS($Z$5:Z99,Z99,$X$5:X99,1))</x:f>
        <x:v>0</x:v>
      </x:c>
      <x:c r="AB99" s="168"/>
      <x:c r="AC99" s="168"/>
      <x:c r="AD99" s="169"/>
      <x:c r="AE99" s="167" t="str">
        <x:f>IF(X99=0,"",IF(OR(U99&gt;0,Listas!$B$13&lt;&gt;"OK"),"Dados pendentes",IF(J99&lt;=0,"Sem saldo",IF(N99="VENCIDO","Vencidos",IF(OR(M99="Quarentena",M99="Bloqueado"),"Restritos vigentes",IF(OR(N99="CRÍTICO",N99="VENCE NA JANELA"),"Liberados na janela","Demais liberados"))))))</x:f>
      </x:c>
      <x:c r="AF99" s="167" t="str">
        <x:f>IF(A99&lt;&gt;"",A99,IF(U99&gt;0,"Sem ID (linha "&amp;ROW()&amp;")",""))</x:f>
      </x:c>
      <x:c r="AG99" s="167" t="str">
        <x:f>IF(AD99="","",IF(OR(NOT(ISNUMBER(AD99)),AD99&lt;=0),"Prazo da ação inválido",""))</x:f>
      </x:c>
      <x:c r="AH99" s="167" t="n">
        <x:f>IF(AG99="",0,1)</x:f>
        <x:v>0</x:v>
      </x:c>
    </x:row>
    <x:row r="100" ht="32" customHeight="1">
      <x:c r="A100" s="27"/>
      <x:c r="B100" s="27"/>
      <x:c r="C100" s="40" t="str">
        <x:f>IF($B100="","",IFERROR(INDEX(Produtos!$B$5:$B$204,MATCH($B100,Produtos!$A$5:$A$204,0)),""))</x:f>
      </x:c>
      <x:c r="D100" s="170"/>
      <x:c r="E100" s="179"/>
      <x:c r="F100" s="179"/>
      <x:c r="G100" s="179"/>
      <x:c r="H100" s="40" t="str">
        <x:f>IF(A100="","",IF(OR(S100&lt;&gt;"",Listas!$B$13&lt;&gt;"OK"),"n.a.",G100-Listas!$B$6))</x:f>
      </x:c>
      <x:c r="I100" s="40"/>
      <x:c r="J100" s="40" t="str">
        <x:f>IF(A100="","",IF(OR(S100&lt;&gt;"",T100&gt;0,Listas!$B$13&lt;&gt;"OK"),"n.a.",SUMIFS(Movimentacoes!$H$5:$H$304,Movimentacoes!$D$5:$D$304,A100,Movimentacoes!$B$5:$B$304,"&lt;="&amp;Listas!$B$6)))</x:f>
      </x:c>
      <x:c r="K100" s="180"/>
      <x:c r="L100" s="181" t="str">
        <x:f>IF(A100="","",IF(OR(U100&gt;0,Listas!$B$13&lt;&gt;"OK"),"n.a.",J100*K100))</x:f>
      </x:c>
      <x:c r="M100" s="27"/>
      <x:c r="N100" s="40" t="str">
        <x:f>IF(A100="","",IF(OR(U100&gt;0,Listas!$B$13&lt;&gt;"OK"),"REVISAR DADOS",IF(J100=0,"SEM SALDO",IF(G100&lt;Listas!$B$6,"VENCIDO",IF(H100&lt;=Listas!$B$7,"CRÍTICO",IF(H100&lt;=Listas!$B$8,"VENCE NA JANELA","OK"))))))</x:f>
      </x:c>
      <x:c r="O100" s="41" t="str">
        <x:f>IF(A100="","",IF(AND(ISNUMBER(V100),V100&gt;0),G100,""))</x:f>
      </x:c>
      <x:c r="P100" s="40" t="str">
        <x:f>IF(A100="","",IF(OR(U100&gt;0,Listas!$B$13&lt;&gt;"OK"),"REVISAR DADOS",IF(J100=0,"ARQUIVAR LOTE",IF(M100="Quarentena","DECIDIR LIBERAÇÃO",IF(M100="Bloqueado","SEGREGAR E INVESTIGAR",IF(M100="Esgotado","REVISAR STATUS COM SALDO",IF(N100="VENCIDO","SEGREGAR E AVALIAR DESTINAÇÃO",IF(OR(N100="CRÍTICO",N100="VENCE NA JANELA"),"PRIORIZAR FEFO","MANTER ROTAÇÃO"))))))))</x:f>
      </x:c>
      <x:c r="Q100" s="27"/>
      <x:c r="R100" s="181" t="str">
        <x:f>IF(A100="","",IF(OR(U100&gt;0,Listas!$B$13&lt;&gt;"OK"),"n.a.",IF(OR(N100="VENCIDO",N100="CRÍTICO",N100="VENCE NA JANELA",M100="Quarentena",M100="Bloqueado"),L100,0)))</x:f>
      </x:c>
      <x:c r="S100" s="163" t="str">
        <x:f>IF(COUNTA(A100:B100,D100:G100,I100,K100,M100,Q100,AB100:AD100)=0,"",IF(OR(A100="",COUNTIFS($A$5:$A$204,A100)&lt;&gt;1),"Lote ausente ou duplicado",IF(OR(B100="",COUNTIFS(Produtos!$A$5:$A$204,B100)&lt;&gt;1),"SKU ausente ou desconhecido",IF(COUNTIFS(Produtos!$A$5:$A$204,B100,Produtos!$R$5:$R$204,1)&gt;0,"Revisar cadastro do produto",IF(OR(NOT(ISNUMBER(E100)),E100&lt;=0,NOT(ISNUMBER(G100)),G100&lt;=0,G100&lt;E100),"Recebimento ou validade inválida",IF(AND(F100&lt;&gt;"",OR(NOT(ISNUMBER(F100)),F100&lt;=0,F100&gt;E100)),"Fabricação inválida ou posterior ao recebimento",IF(OR(NOT(ISNUMBER(K100)),K100&lt;0,NOT(ISNUMBER(I100)),I100&lt;0),"Quantidade recebida ou custo inválido",IF(AND(M100&lt;&gt;"Liberado",M100&lt;&gt;"Quarentena",M100&lt;&gt;"Bloqueado",M100&lt;&gt;"Esgotado"),"Status de lote inválido",""))))))))</x:f>
      </x:c>
      <x:c r="T100" s="163" t="n">
        <x:f>IF(A100="",0,COUNTIFS(Movimentacoes!$D$5:$D$304,A100,Movimentacoes!$P$5:$P$304,1))</x:f>
        <x:v>0</x:v>
      </x:c>
      <x:c r="U100" s="163" t="n">
        <x:f>IF(COUNTA(A100:B100,D100:G100,I100,K100,M100,Q100,AB100:AD100)=0,0,IF(OR(S100&lt;&gt;"",T100&gt;0),1,IF(ISNUMBER(J100),IF(OR(J100&lt;0,AND(J100&gt;0,M100="Esgotado")),1,0),0)))</x:f>
        <x:v>0</x:v>
      </x:c>
      <x:c r="V100" s="163" t="str">
        <x:f>IF(A100="","",IF(OR(U100&gt;0,Listas!$B$13&lt;&gt;"OK"),"n.a.",IF(AND(J100&gt;0,M100="Liberado",G100&gt;=Listas!$B$6),J100,0)))</x:f>
      </x:c>
      <x:c r="W100" s="163" t="str">
        <x:f>IF(A100="","",IF(OR(U100&gt;0,Listas!$B$13&lt;&gt;"OK"),"n.a.",V100*K100))</x:f>
      </x:c>
      <x:c r="X100" s="167" t="n">
        <x:f>IF(COUNTA(A100:B100,D100:G100,I100,K100,M100,Q100,AB100:AD100)=0,0,IF(OR(Listas!$B$19="Todos",B100=Listas!$B$19,COUNTIFS(Produtos!$A$5:$A$204,B100)&lt;&gt;1),1,0))</x:f>
        <x:v>0</x:v>
      </x:c>
      <x:c r="Y100" s="167" t="str">
        <x:f>IF(X100=0,"",IF(Listas!$B$13&lt;&gt;"OK","Revisar parâmetros",IF(U100&gt;0,IF(S100&lt;&gt;"",S100,IF(T100&gt;0,"Revisar movimentos",IF(AND(ISNUMBER(J100),J100&lt;0),"Saldo negativo","Status esgotado com saldo"))),IF(AG100&lt;&gt;"",AG100&amp;". ","")&amp;IF(J100&lt;=0,"",IF(N100="VENCIDO","Validade vencida. ","")&amp;IF(M100="Quarentena","Em quarentena. ","")&amp;IF(M100="Bloqueado","Lote bloqueado. ","")&amp;IF(N100="CRÍTICO","Validade crítica. ","")&amp;IF(N100="VENCE NA JANELA","Vence na janela. ","")))))</x:f>
      </x:c>
      <x:c r="Z100" s="167" t="n">
        <x:f>IF(OR(X100=0,Y100=""),0,IF(OR(Listas!$B$13&lt;&gt;"OK",U100&gt;0,AH100&gt;0),1,IF(N100="VENCIDO",2,IF(OR(M100="Quarentena",M100="Bloqueado"),3,IF(N100="CRÍTICO",4,5)))))</x:f>
        <x:v>0</x:v>
      </x:c>
      <x:c r="AA100" s="167" t="n">
        <x:f>IF(Z100=0,0,COUNTIFS($Z$5:$Z$204,"&gt;0",$Z$5:$Z$204,"&lt;"&amp;Z100,$X$5:$X$204,1)+COUNTIFS($Z$5:Z100,Z100,$X$5:X100,1))</x:f>
        <x:v>0</x:v>
      </x:c>
      <x:c r="AB100" s="168"/>
      <x:c r="AC100" s="168"/>
      <x:c r="AD100" s="169"/>
      <x:c r="AE100" s="167" t="str">
        <x:f>IF(X100=0,"",IF(OR(U100&gt;0,Listas!$B$13&lt;&gt;"OK"),"Dados pendentes",IF(J100&lt;=0,"Sem saldo",IF(N100="VENCIDO","Vencidos",IF(OR(M100="Quarentena",M100="Bloqueado"),"Restritos vigentes",IF(OR(N100="CRÍTICO",N100="VENCE NA JANELA"),"Liberados na janela","Demais liberados"))))))</x:f>
      </x:c>
      <x:c r="AF100" s="167" t="str">
        <x:f>IF(A100&lt;&gt;"",A100,IF(U100&gt;0,"Sem ID (linha "&amp;ROW()&amp;")",""))</x:f>
      </x:c>
      <x:c r="AG100" s="167" t="str">
        <x:f>IF(AD100="","",IF(OR(NOT(ISNUMBER(AD100)),AD100&lt;=0),"Prazo da ação inválido",""))</x:f>
      </x:c>
      <x:c r="AH100" s="167" t="n">
        <x:f>IF(AG100="",0,1)</x:f>
        <x:v>0</x:v>
      </x:c>
    </x:row>
    <x:row r="101" ht="32" customHeight="1">
      <x:c r="A101" s="27"/>
      <x:c r="B101" s="27"/>
      <x:c r="C101" s="40" t="str">
        <x:f>IF($B101="","",IFERROR(INDEX(Produtos!$B$5:$B$204,MATCH($B101,Produtos!$A$5:$A$204,0)),""))</x:f>
      </x:c>
      <x:c r="D101" s="170"/>
      <x:c r="E101" s="179"/>
      <x:c r="F101" s="179"/>
      <x:c r="G101" s="179"/>
      <x:c r="H101" s="40" t="str">
        <x:f>IF(A101="","",IF(OR(S101&lt;&gt;"",Listas!$B$13&lt;&gt;"OK"),"n.a.",G101-Listas!$B$6))</x:f>
      </x:c>
      <x:c r="I101" s="40"/>
      <x:c r="J101" s="40" t="str">
        <x:f>IF(A101="","",IF(OR(S101&lt;&gt;"",T101&gt;0,Listas!$B$13&lt;&gt;"OK"),"n.a.",SUMIFS(Movimentacoes!$H$5:$H$304,Movimentacoes!$D$5:$D$304,A101,Movimentacoes!$B$5:$B$304,"&lt;="&amp;Listas!$B$6)))</x:f>
      </x:c>
      <x:c r="K101" s="180"/>
      <x:c r="L101" s="181" t="str">
        <x:f>IF(A101="","",IF(OR(U101&gt;0,Listas!$B$13&lt;&gt;"OK"),"n.a.",J101*K101))</x:f>
      </x:c>
      <x:c r="M101" s="27"/>
      <x:c r="N101" s="40" t="str">
        <x:f>IF(A101="","",IF(OR(U101&gt;0,Listas!$B$13&lt;&gt;"OK"),"REVISAR DADOS",IF(J101=0,"SEM SALDO",IF(G101&lt;Listas!$B$6,"VENCIDO",IF(H101&lt;=Listas!$B$7,"CRÍTICO",IF(H101&lt;=Listas!$B$8,"VENCE NA JANELA","OK"))))))</x:f>
      </x:c>
      <x:c r="O101" s="41" t="str">
        <x:f>IF(A101="","",IF(AND(ISNUMBER(V101),V101&gt;0),G101,""))</x:f>
      </x:c>
      <x:c r="P101" s="40" t="str">
        <x:f>IF(A101="","",IF(OR(U101&gt;0,Listas!$B$13&lt;&gt;"OK"),"REVISAR DADOS",IF(J101=0,"ARQUIVAR LOTE",IF(M101="Quarentena","DECIDIR LIBERAÇÃO",IF(M101="Bloqueado","SEGREGAR E INVESTIGAR",IF(M101="Esgotado","REVISAR STATUS COM SALDO",IF(N101="VENCIDO","SEGREGAR E AVALIAR DESTINAÇÃO",IF(OR(N101="CRÍTICO",N101="VENCE NA JANELA"),"PRIORIZAR FEFO","MANTER ROTAÇÃO"))))))))</x:f>
      </x:c>
      <x:c r="Q101" s="27"/>
      <x:c r="R101" s="181" t="str">
        <x:f>IF(A101="","",IF(OR(U101&gt;0,Listas!$B$13&lt;&gt;"OK"),"n.a.",IF(OR(N101="VENCIDO",N101="CRÍTICO",N101="VENCE NA JANELA",M101="Quarentena",M101="Bloqueado"),L101,0)))</x:f>
      </x:c>
      <x:c r="S101" s="163" t="str">
        <x:f>IF(COUNTA(A101:B101,D101:G101,I101,K101,M101,Q101,AB101:AD101)=0,"",IF(OR(A101="",COUNTIFS($A$5:$A$204,A101)&lt;&gt;1),"Lote ausente ou duplicado",IF(OR(B101="",COUNTIFS(Produtos!$A$5:$A$204,B101)&lt;&gt;1),"SKU ausente ou desconhecido",IF(COUNTIFS(Produtos!$A$5:$A$204,B101,Produtos!$R$5:$R$204,1)&gt;0,"Revisar cadastro do produto",IF(OR(NOT(ISNUMBER(E101)),E101&lt;=0,NOT(ISNUMBER(G101)),G101&lt;=0,G101&lt;E101),"Recebimento ou validade inválida",IF(AND(F101&lt;&gt;"",OR(NOT(ISNUMBER(F101)),F101&lt;=0,F101&gt;E101)),"Fabricação inválida ou posterior ao recebimento",IF(OR(NOT(ISNUMBER(K101)),K101&lt;0,NOT(ISNUMBER(I101)),I101&lt;0),"Quantidade recebida ou custo inválido",IF(AND(M101&lt;&gt;"Liberado",M101&lt;&gt;"Quarentena",M101&lt;&gt;"Bloqueado",M101&lt;&gt;"Esgotado"),"Status de lote inválido",""))))))))</x:f>
      </x:c>
      <x:c r="T101" s="163" t="n">
        <x:f>IF(A101="",0,COUNTIFS(Movimentacoes!$D$5:$D$304,A101,Movimentacoes!$P$5:$P$304,1))</x:f>
        <x:v>0</x:v>
      </x:c>
      <x:c r="U101" s="163" t="n">
        <x:f>IF(COUNTA(A101:B101,D101:G101,I101,K101,M101,Q101,AB101:AD101)=0,0,IF(OR(S101&lt;&gt;"",T101&gt;0),1,IF(ISNUMBER(J101),IF(OR(J101&lt;0,AND(J101&gt;0,M101="Esgotado")),1,0),0)))</x:f>
        <x:v>0</x:v>
      </x:c>
      <x:c r="V101" s="163" t="str">
        <x:f>IF(A101="","",IF(OR(U101&gt;0,Listas!$B$13&lt;&gt;"OK"),"n.a.",IF(AND(J101&gt;0,M101="Liberado",G101&gt;=Listas!$B$6),J101,0)))</x:f>
      </x:c>
      <x:c r="W101" s="163" t="str">
        <x:f>IF(A101="","",IF(OR(U101&gt;0,Listas!$B$13&lt;&gt;"OK"),"n.a.",V101*K101))</x:f>
      </x:c>
      <x:c r="X101" s="167" t="n">
        <x:f>IF(COUNTA(A101:B101,D101:G101,I101,K101,M101,Q101,AB101:AD101)=0,0,IF(OR(Listas!$B$19="Todos",B101=Listas!$B$19,COUNTIFS(Produtos!$A$5:$A$204,B101)&lt;&gt;1),1,0))</x:f>
        <x:v>0</x:v>
      </x:c>
      <x:c r="Y101" s="167" t="str">
        <x:f>IF(X101=0,"",IF(Listas!$B$13&lt;&gt;"OK","Revisar parâmetros",IF(U101&gt;0,IF(S101&lt;&gt;"",S101,IF(T101&gt;0,"Revisar movimentos",IF(AND(ISNUMBER(J101),J101&lt;0),"Saldo negativo","Status esgotado com saldo"))),IF(AG101&lt;&gt;"",AG101&amp;". ","")&amp;IF(J101&lt;=0,"",IF(N101="VENCIDO","Validade vencida. ","")&amp;IF(M101="Quarentena","Em quarentena. ","")&amp;IF(M101="Bloqueado","Lote bloqueado. ","")&amp;IF(N101="CRÍTICO","Validade crítica. ","")&amp;IF(N101="VENCE NA JANELA","Vence na janela. ","")))))</x:f>
      </x:c>
      <x:c r="Z101" s="167" t="n">
        <x:f>IF(OR(X101=0,Y101=""),0,IF(OR(Listas!$B$13&lt;&gt;"OK",U101&gt;0,AH101&gt;0),1,IF(N101="VENCIDO",2,IF(OR(M101="Quarentena",M101="Bloqueado"),3,IF(N101="CRÍTICO",4,5)))))</x:f>
        <x:v>0</x:v>
      </x:c>
      <x:c r="AA101" s="167" t="n">
        <x:f>IF(Z101=0,0,COUNTIFS($Z$5:$Z$204,"&gt;0",$Z$5:$Z$204,"&lt;"&amp;Z101,$X$5:$X$204,1)+COUNTIFS($Z$5:Z101,Z101,$X$5:X101,1))</x:f>
        <x:v>0</x:v>
      </x:c>
      <x:c r="AB101" s="168"/>
      <x:c r="AC101" s="168"/>
      <x:c r="AD101" s="169"/>
      <x:c r="AE101" s="167" t="str">
        <x:f>IF(X101=0,"",IF(OR(U101&gt;0,Listas!$B$13&lt;&gt;"OK"),"Dados pendentes",IF(J101&lt;=0,"Sem saldo",IF(N101="VENCIDO","Vencidos",IF(OR(M101="Quarentena",M101="Bloqueado"),"Restritos vigentes",IF(OR(N101="CRÍTICO",N101="VENCE NA JANELA"),"Liberados na janela","Demais liberados"))))))</x:f>
      </x:c>
      <x:c r="AF101" s="167" t="str">
        <x:f>IF(A101&lt;&gt;"",A101,IF(U101&gt;0,"Sem ID (linha "&amp;ROW()&amp;")",""))</x:f>
      </x:c>
      <x:c r="AG101" s="167" t="str">
        <x:f>IF(AD101="","",IF(OR(NOT(ISNUMBER(AD101)),AD101&lt;=0),"Prazo da ação inválido",""))</x:f>
      </x:c>
      <x:c r="AH101" s="167" t="n">
        <x:f>IF(AG101="",0,1)</x:f>
        <x:v>0</x:v>
      </x:c>
    </x:row>
    <x:row r="102" ht="32" customHeight="1">
      <x:c r="A102" s="27"/>
      <x:c r="B102" s="27"/>
      <x:c r="C102" s="40" t="str">
        <x:f>IF($B102="","",IFERROR(INDEX(Produtos!$B$5:$B$204,MATCH($B102,Produtos!$A$5:$A$204,0)),""))</x:f>
      </x:c>
      <x:c r="D102" s="170"/>
      <x:c r="E102" s="179"/>
      <x:c r="F102" s="179"/>
      <x:c r="G102" s="179"/>
      <x:c r="H102" s="40" t="str">
        <x:f>IF(A102="","",IF(OR(S102&lt;&gt;"",Listas!$B$13&lt;&gt;"OK"),"n.a.",G102-Listas!$B$6))</x:f>
      </x:c>
      <x:c r="I102" s="40"/>
      <x:c r="J102" s="40" t="str">
        <x:f>IF(A102="","",IF(OR(S102&lt;&gt;"",T102&gt;0,Listas!$B$13&lt;&gt;"OK"),"n.a.",SUMIFS(Movimentacoes!$H$5:$H$304,Movimentacoes!$D$5:$D$304,A102,Movimentacoes!$B$5:$B$304,"&lt;="&amp;Listas!$B$6)))</x:f>
      </x:c>
      <x:c r="K102" s="180"/>
      <x:c r="L102" s="181" t="str">
        <x:f>IF(A102="","",IF(OR(U102&gt;0,Listas!$B$13&lt;&gt;"OK"),"n.a.",J102*K102))</x:f>
      </x:c>
      <x:c r="M102" s="27"/>
      <x:c r="N102" s="40" t="str">
        <x:f>IF(A102="","",IF(OR(U102&gt;0,Listas!$B$13&lt;&gt;"OK"),"REVISAR DADOS",IF(J102=0,"SEM SALDO",IF(G102&lt;Listas!$B$6,"VENCIDO",IF(H102&lt;=Listas!$B$7,"CRÍTICO",IF(H102&lt;=Listas!$B$8,"VENCE NA JANELA","OK"))))))</x:f>
      </x:c>
      <x:c r="O102" s="41" t="str">
        <x:f>IF(A102="","",IF(AND(ISNUMBER(V102),V102&gt;0),G102,""))</x:f>
      </x:c>
      <x:c r="P102" s="40" t="str">
        <x:f>IF(A102="","",IF(OR(U102&gt;0,Listas!$B$13&lt;&gt;"OK"),"REVISAR DADOS",IF(J102=0,"ARQUIVAR LOTE",IF(M102="Quarentena","DECIDIR LIBERAÇÃO",IF(M102="Bloqueado","SEGREGAR E INVESTIGAR",IF(M102="Esgotado","REVISAR STATUS COM SALDO",IF(N102="VENCIDO","SEGREGAR E AVALIAR DESTINAÇÃO",IF(OR(N102="CRÍTICO",N102="VENCE NA JANELA"),"PRIORIZAR FEFO","MANTER ROTAÇÃO"))))))))</x:f>
      </x:c>
      <x:c r="Q102" s="27"/>
      <x:c r="R102" s="181" t="str">
        <x:f>IF(A102="","",IF(OR(U102&gt;0,Listas!$B$13&lt;&gt;"OK"),"n.a.",IF(OR(N102="VENCIDO",N102="CRÍTICO",N102="VENCE NA JANELA",M102="Quarentena",M102="Bloqueado"),L102,0)))</x:f>
      </x:c>
      <x:c r="S102" s="163" t="str">
        <x:f>IF(COUNTA(A102:B102,D102:G102,I102,K102,M102,Q102,AB102:AD102)=0,"",IF(OR(A102="",COUNTIFS($A$5:$A$204,A102)&lt;&gt;1),"Lote ausente ou duplicado",IF(OR(B102="",COUNTIFS(Produtos!$A$5:$A$204,B102)&lt;&gt;1),"SKU ausente ou desconhecido",IF(COUNTIFS(Produtos!$A$5:$A$204,B102,Produtos!$R$5:$R$204,1)&gt;0,"Revisar cadastro do produto",IF(OR(NOT(ISNUMBER(E102)),E102&lt;=0,NOT(ISNUMBER(G102)),G102&lt;=0,G102&lt;E102),"Recebimento ou validade inválida",IF(AND(F102&lt;&gt;"",OR(NOT(ISNUMBER(F102)),F102&lt;=0,F102&gt;E102)),"Fabricação inválida ou posterior ao recebimento",IF(OR(NOT(ISNUMBER(K102)),K102&lt;0,NOT(ISNUMBER(I102)),I102&lt;0),"Quantidade recebida ou custo inválido",IF(AND(M102&lt;&gt;"Liberado",M102&lt;&gt;"Quarentena",M102&lt;&gt;"Bloqueado",M102&lt;&gt;"Esgotado"),"Status de lote inválido",""))))))))</x:f>
      </x:c>
      <x:c r="T102" s="163" t="n">
        <x:f>IF(A102="",0,COUNTIFS(Movimentacoes!$D$5:$D$304,A102,Movimentacoes!$P$5:$P$304,1))</x:f>
        <x:v>0</x:v>
      </x:c>
      <x:c r="U102" s="163" t="n">
        <x:f>IF(COUNTA(A102:B102,D102:G102,I102,K102,M102,Q102,AB102:AD102)=0,0,IF(OR(S102&lt;&gt;"",T102&gt;0),1,IF(ISNUMBER(J102),IF(OR(J102&lt;0,AND(J102&gt;0,M102="Esgotado")),1,0),0)))</x:f>
        <x:v>0</x:v>
      </x:c>
      <x:c r="V102" s="163" t="str">
        <x:f>IF(A102="","",IF(OR(U102&gt;0,Listas!$B$13&lt;&gt;"OK"),"n.a.",IF(AND(J102&gt;0,M102="Liberado",G102&gt;=Listas!$B$6),J102,0)))</x:f>
      </x:c>
      <x:c r="W102" s="163" t="str">
        <x:f>IF(A102="","",IF(OR(U102&gt;0,Listas!$B$13&lt;&gt;"OK"),"n.a.",V102*K102))</x:f>
      </x:c>
      <x:c r="X102" s="167" t="n">
        <x:f>IF(COUNTA(A102:B102,D102:G102,I102,K102,M102,Q102,AB102:AD102)=0,0,IF(OR(Listas!$B$19="Todos",B102=Listas!$B$19,COUNTIFS(Produtos!$A$5:$A$204,B102)&lt;&gt;1),1,0))</x:f>
        <x:v>0</x:v>
      </x:c>
      <x:c r="Y102" s="167" t="str">
        <x:f>IF(X102=0,"",IF(Listas!$B$13&lt;&gt;"OK","Revisar parâmetros",IF(U102&gt;0,IF(S102&lt;&gt;"",S102,IF(T102&gt;0,"Revisar movimentos",IF(AND(ISNUMBER(J102),J102&lt;0),"Saldo negativo","Status esgotado com saldo"))),IF(AG102&lt;&gt;"",AG102&amp;". ","")&amp;IF(J102&lt;=0,"",IF(N102="VENCIDO","Validade vencida. ","")&amp;IF(M102="Quarentena","Em quarentena. ","")&amp;IF(M102="Bloqueado","Lote bloqueado. ","")&amp;IF(N102="CRÍTICO","Validade crítica. ","")&amp;IF(N102="VENCE NA JANELA","Vence na janela. ","")))))</x:f>
      </x:c>
      <x:c r="Z102" s="167" t="n">
        <x:f>IF(OR(X102=0,Y102=""),0,IF(OR(Listas!$B$13&lt;&gt;"OK",U102&gt;0,AH102&gt;0),1,IF(N102="VENCIDO",2,IF(OR(M102="Quarentena",M102="Bloqueado"),3,IF(N102="CRÍTICO",4,5)))))</x:f>
        <x:v>0</x:v>
      </x:c>
      <x:c r="AA102" s="167" t="n">
        <x:f>IF(Z102=0,0,COUNTIFS($Z$5:$Z$204,"&gt;0",$Z$5:$Z$204,"&lt;"&amp;Z102,$X$5:$X$204,1)+COUNTIFS($Z$5:Z102,Z102,$X$5:X102,1))</x:f>
        <x:v>0</x:v>
      </x:c>
      <x:c r="AB102" s="168"/>
      <x:c r="AC102" s="168"/>
      <x:c r="AD102" s="169"/>
      <x:c r="AE102" s="167" t="str">
        <x:f>IF(X102=0,"",IF(OR(U102&gt;0,Listas!$B$13&lt;&gt;"OK"),"Dados pendentes",IF(J102&lt;=0,"Sem saldo",IF(N102="VENCIDO","Vencidos",IF(OR(M102="Quarentena",M102="Bloqueado"),"Restritos vigentes",IF(OR(N102="CRÍTICO",N102="VENCE NA JANELA"),"Liberados na janela","Demais liberados"))))))</x:f>
      </x:c>
      <x:c r="AF102" s="167" t="str">
        <x:f>IF(A102&lt;&gt;"",A102,IF(U102&gt;0,"Sem ID (linha "&amp;ROW()&amp;")",""))</x:f>
      </x:c>
      <x:c r="AG102" s="167" t="str">
        <x:f>IF(AD102="","",IF(OR(NOT(ISNUMBER(AD102)),AD102&lt;=0),"Prazo da ação inválido",""))</x:f>
      </x:c>
      <x:c r="AH102" s="167" t="n">
        <x:f>IF(AG102="",0,1)</x:f>
        <x:v>0</x:v>
      </x:c>
    </x:row>
    <x:row r="103" ht="32" customHeight="1">
      <x:c r="A103" s="27"/>
      <x:c r="B103" s="27"/>
      <x:c r="C103" s="40" t="str">
        <x:f>IF($B103="","",IFERROR(INDEX(Produtos!$B$5:$B$204,MATCH($B103,Produtos!$A$5:$A$204,0)),""))</x:f>
      </x:c>
      <x:c r="D103" s="170"/>
      <x:c r="E103" s="179"/>
      <x:c r="F103" s="179"/>
      <x:c r="G103" s="179"/>
      <x:c r="H103" s="40" t="str">
        <x:f>IF(A103="","",IF(OR(S103&lt;&gt;"",Listas!$B$13&lt;&gt;"OK"),"n.a.",G103-Listas!$B$6))</x:f>
      </x:c>
      <x:c r="I103" s="40"/>
      <x:c r="J103" s="40" t="str">
        <x:f>IF(A103="","",IF(OR(S103&lt;&gt;"",T103&gt;0,Listas!$B$13&lt;&gt;"OK"),"n.a.",SUMIFS(Movimentacoes!$H$5:$H$304,Movimentacoes!$D$5:$D$304,A103,Movimentacoes!$B$5:$B$304,"&lt;="&amp;Listas!$B$6)))</x:f>
      </x:c>
      <x:c r="K103" s="180"/>
      <x:c r="L103" s="181" t="str">
        <x:f>IF(A103="","",IF(OR(U103&gt;0,Listas!$B$13&lt;&gt;"OK"),"n.a.",J103*K103))</x:f>
      </x:c>
      <x:c r="M103" s="27"/>
      <x:c r="N103" s="40" t="str">
        <x:f>IF(A103="","",IF(OR(U103&gt;0,Listas!$B$13&lt;&gt;"OK"),"REVISAR DADOS",IF(J103=0,"SEM SALDO",IF(G103&lt;Listas!$B$6,"VENCIDO",IF(H103&lt;=Listas!$B$7,"CRÍTICO",IF(H103&lt;=Listas!$B$8,"VENCE NA JANELA","OK"))))))</x:f>
      </x:c>
      <x:c r="O103" s="41" t="str">
        <x:f>IF(A103="","",IF(AND(ISNUMBER(V103),V103&gt;0),G103,""))</x:f>
      </x:c>
      <x:c r="P103" s="40" t="str">
        <x:f>IF(A103="","",IF(OR(U103&gt;0,Listas!$B$13&lt;&gt;"OK"),"REVISAR DADOS",IF(J103=0,"ARQUIVAR LOTE",IF(M103="Quarentena","DECIDIR LIBERAÇÃO",IF(M103="Bloqueado","SEGREGAR E INVESTIGAR",IF(M103="Esgotado","REVISAR STATUS COM SALDO",IF(N103="VENCIDO","SEGREGAR E AVALIAR DESTINAÇÃO",IF(OR(N103="CRÍTICO",N103="VENCE NA JANELA"),"PRIORIZAR FEFO","MANTER ROTAÇÃO"))))))))</x:f>
      </x:c>
      <x:c r="Q103" s="27"/>
      <x:c r="R103" s="181" t="str">
        <x:f>IF(A103="","",IF(OR(U103&gt;0,Listas!$B$13&lt;&gt;"OK"),"n.a.",IF(OR(N103="VENCIDO",N103="CRÍTICO",N103="VENCE NA JANELA",M103="Quarentena",M103="Bloqueado"),L103,0)))</x:f>
      </x:c>
      <x:c r="S103" s="163" t="str">
        <x:f>IF(COUNTA(A103:B103,D103:G103,I103,K103,M103,Q103,AB103:AD103)=0,"",IF(OR(A103="",COUNTIFS($A$5:$A$204,A103)&lt;&gt;1),"Lote ausente ou duplicado",IF(OR(B103="",COUNTIFS(Produtos!$A$5:$A$204,B103)&lt;&gt;1),"SKU ausente ou desconhecido",IF(COUNTIFS(Produtos!$A$5:$A$204,B103,Produtos!$R$5:$R$204,1)&gt;0,"Revisar cadastro do produto",IF(OR(NOT(ISNUMBER(E103)),E103&lt;=0,NOT(ISNUMBER(G103)),G103&lt;=0,G103&lt;E103),"Recebimento ou validade inválida",IF(AND(F103&lt;&gt;"",OR(NOT(ISNUMBER(F103)),F103&lt;=0,F103&gt;E103)),"Fabricação inválida ou posterior ao recebimento",IF(OR(NOT(ISNUMBER(K103)),K103&lt;0,NOT(ISNUMBER(I103)),I103&lt;0),"Quantidade recebida ou custo inválido",IF(AND(M103&lt;&gt;"Liberado",M103&lt;&gt;"Quarentena",M103&lt;&gt;"Bloqueado",M103&lt;&gt;"Esgotado"),"Status de lote inválido",""))))))))</x:f>
      </x:c>
      <x:c r="T103" s="163" t="n">
        <x:f>IF(A103="",0,COUNTIFS(Movimentacoes!$D$5:$D$304,A103,Movimentacoes!$P$5:$P$304,1))</x:f>
        <x:v>0</x:v>
      </x:c>
      <x:c r="U103" s="163" t="n">
        <x:f>IF(COUNTA(A103:B103,D103:G103,I103,K103,M103,Q103,AB103:AD103)=0,0,IF(OR(S103&lt;&gt;"",T103&gt;0),1,IF(ISNUMBER(J103),IF(OR(J103&lt;0,AND(J103&gt;0,M103="Esgotado")),1,0),0)))</x:f>
        <x:v>0</x:v>
      </x:c>
      <x:c r="V103" s="163" t="str">
        <x:f>IF(A103="","",IF(OR(U103&gt;0,Listas!$B$13&lt;&gt;"OK"),"n.a.",IF(AND(J103&gt;0,M103="Liberado",G103&gt;=Listas!$B$6),J103,0)))</x:f>
      </x:c>
      <x:c r="W103" s="163" t="str">
        <x:f>IF(A103="","",IF(OR(U103&gt;0,Listas!$B$13&lt;&gt;"OK"),"n.a.",V103*K103))</x:f>
      </x:c>
      <x:c r="X103" s="167" t="n">
        <x:f>IF(COUNTA(A103:B103,D103:G103,I103,K103,M103,Q103,AB103:AD103)=0,0,IF(OR(Listas!$B$19="Todos",B103=Listas!$B$19,COUNTIFS(Produtos!$A$5:$A$204,B103)&lt;&gt;1),1,0))</x:f>
        <x:v>0</x:v>
      </x:c>
      <x:c r="Y103" s="167" t="str">
        <x:f>IF(X103=0,"",IF(Listas!$B$13&lt;&gt;"OK","Revisar parâmetros",IF(U103&gt;0,IF(S103&lt;&gt;"",S103,IF(T103&gt;0,"Revisar movimentos",IF(AND(ISNUMBER(J103),J103&lt;0),"Saldo negativo","Status esgotado com saldo"))),IF(AG103&lt;&gt;"",AG103&amp;". ","")&amp;IF(J103&lt;=0,"",IF(N103="VENCIDO","Validade vencida. ","")&amp;IF(M103="Quarentena","Em quarentena. ","")&amp;IF(M103="Bloqueado","Lote bloqueado. ","")&amp;IF(N103="CRÍTICO","Validade crítica. ","")&amp;IF(N103="VENCE NA JANELA","Vence na janela. ","")))))</x:f>
      </x:c>
      <x:c r="Z103" s="167" t="n">
        <x:f>IF(OR(X103=0,Y103=""),0,IF(OR(Listas!$B$13&lt;&gt;"OK",U103&gt;0,AH103&gt;0),1,IF(N103="VENCIDO",2,IF(OR(M103="Quarentena",M103="Bloqueado"),3,IF(N103="CRÍTICO",4,5)))))</x:f>
        <x:v>0</x:v>
      </x:c>
      <x:c r="AA103" s="167" t="n">
        <x:f>IF(Z103=0,0,COUNTIFS($Z$5:$Z$204,"&gt;0",$Z$5:$Z$204,"&lt;"&amp;Z103,$X$5:$X$204,1)+COUNTIFS($Z$5:Z103,Z103,$X$5:X103,1))</x:f>
        <x:v>0</x:v>
      </x:c>
      <x:c r="AB103" s="168"/>
      <x:c r="AC103" s="168"/>
      <x:c r="AD103" s="169"/>
      <x:c r="AE103" s="167" t="str">
        <x:f>IF(X103=0,"",IF(OR(U103&gt;0,Listas!$B$13&lt;&gt;"OK"),"Dados pendentes",IF(J103&lt;=0,"Sem saldo",IF(N103="VENCIDO","Vencidos",IF(OR(M103="Quarentena",M103="Bloqueado"),"Restritos vigentes",IF(OR(N103="CRÍTICO",N103="VENCE NA JANELA"),"Liberados na janela","Demais liberados"))))))</x:f>
      </x:c>
      <x:c r="AF103" s="167" t="str">
        <x:f>IF(A103&lt;&gt;"",A103,IF(U103&gt;0,"Sem ID (linha "&amp;ROW()&amp;")",""))</x:f>
      </x:c>
      <x:c r="AG103" s="167" t="str">
        <x:f>IF(AD103="","",IF(OR(NOT(ISNUMBER(AD103)),AD103&lt;=0),"Prazo da ação inválido",""))</x:f>
      </x:c>
      <x:c r="AH103" s="167" t="n">
        <x:f>IF(AG103="",0,1)</x:f>
        <x:v>0</x:v>
      </x:c>
    </x:row>
    <x:row r="104" ht="32" customHeight="1">
      <x:c r="A104" s="27"/>
      <x:c r="B104" s="27"/>
      <x:c r="C104" s="40" t="str">
        <x:f>IF($B104="","",IFERROR(INDEX(Produtos!$B$5:$B$204,MATCH($B104,Produtos!$A$5:$A$204,0)),""))</x:f>
      </x:c>
      <x:c r="D104" s="170"/>
      <x:c r="E104" s="179"/>
      <x:c r="F104" s="179"/>
      <x:c r="G104" s="179"/>
      <x:c r="H104" s="40" t="str">
        <x:f>IF(A104="","",IF(OR(S104&lt;&gt;"",Listas!$B$13&lt;&gt;"OK"),"n.a.",G104-Listas!$B$6))</x:f>
      </x:c>
      <x:c r="I104" s="40"/>
      <x:c r="J104" s="40" t="str">
        <x:f>IF(A104="","",IF(OR(S104&lt;&gt;"",T104&gt;0,Listas!$B$13&lt;&gt;"OK"),"n.a.",SUMIFS(Movimentacoes!$H$5:$H$304,Movimentacoes!$D$5:$D$304,A104,Movimentacoes!$B$5:$B$304,"&lt;="&amp;Listas!$B$6)))</x:f>
      </x:c>
      <x:c r="K104" s="180"/>
      <x:c r="L104" s="181" t="str">
        <x:f>IF(A104="","",IF(OR(U104&gt;0,Listas!$B$13&lt;&gt;"OK"),"n.a.",J104*K104))</x:f>
      </x:c>
      <x:c r="M104" s="27"/>
      <x:c r="N104" s="40" t="str">
        <x:f>IF(A104="","",IF(OR(U104&gt;0,Listas!$B$13&lt;&gt;"OK"),"REVISAR DADOS",IF(J104=0,"SEM SALDO",IF(G104&lt;Listas!$B$6,"VENCIDO",IF(H104&lt;=Listas!$B$7,"CRÍTICO",IF(H104&lt;=Listas!$B$8,"VENCE NA JANELA","OK"))))))</x:f>
      </x:c>
      <x:c r="O104" s="41" t="str">
        <x:f>IF(A104="","",IF(AND(ISNUMBER(V104),V104&gt;0),G104,""))</x:f>
      </x:c>
      <x:c r="P104" s="40" t="str">
        <x:f>IF(A104="","",IF(OR(U104&gt;0,Listas!$B$13&lt;&gt;"OK"),"REVISAR DADOS",IF(J104=0,"ARQUIVAR LOTE",IF(M104="Quarentena","DECIDIR LIBERAÇÃO",IF(M104="Bloqueado","SEGREGAR E INVESTIGAR",IF(M104="Esgotado","REVISAR STATUS COM SALDO",IF(N104="VENCIDO","SEGREGAR E AVALIAR DESTINAÇÃO",IF(OR(N104="CRÍTICO",N104="VENCE NA JANELA"),"PRIORIZAR FEFO","MANTER ROTAÇÃO"))))))))</x:f>
      </x:c>
      <x:c r="Q104" s="27"/>
      <x:c r="R104" s="181" t="str">
        <x:f>IF(A104="","",IF(OR(U104&gt;0,Listas!$B$13&lt;&gt;"OK"),"n.a.",IF(OR(N104="VENCIDO",N104="CRÍTICO",N104="VENCE NA JANELA",M104="Quarentena",M104="Bloqueado"),L104,0)))</x:f>
      </x:c>
      <x:c r="S104" s="163" t="str">
        <x:f>IF(COUNTA(A104:B104,D104:G104,I104,K104,M104,Q104,AB104:AD104)=0,"",IF(OR(A104="",COUNTIFS($A$5:$A$204,A104)&lt;&gt;1),"Lote ausente ou duplicado",IF(OR(B104="",COUNTIFS(Produtos!$A$5:$A$204,B104)&lt;&gt;1),"SKU ausente ou desconhecido",IF(COUNTIFS(Produtos!$A$5:$A$204,B104,Produtos!$R$5:$R$204,1)&gt;0,"Revisar cadastro do produto",IF(OR(NOT(ISNUMBER(E104)),E104&lt;=0,NOT(ISNUMBER(G104)),G104&lt;=0,G104&lt;E104),"Recebimento ou validade inválida",IF(AND(F104&lt;&gt;"",OR(NOT(ISNUMBER(F104)),F104&lt;=0,F104&gt;E104)),"Fabricação inválida ou posterior ao recebimento",IF(OR(NOT(ISNUMBER(K104)),K104&lt;0,NOT(ISNUMBER(I104)),I104&lt;0),"Quantidade recebida ou custo inválido",IF(AND(M104&lt;&gt;"Liberado",M104&lt;&gt;"Quarentena",M104&lt;&gt;"Bloqueado",M104&lt;&gt;"Esgotado"),"Status de lote inválido",""))))))))</x:f>
      </x:c>
      <x:c r="T104" s="163" t="n">
        <x:f>IF(A104="",0,COUNTIFS(Movimentacoes!$D$5:$D$304,A104,Movimentacoes!$P$5:$P$304,1))</x:f>
        <x:v>0</x:v>
      </x:c>
      <x:c r="U104" s="163" t="n">
        <x:f>IF(COUNTA(A104:B104,D104:G104,I104,K104,M104,Q104,AB104:AD104)=0,0,IF(OR(S104&lt;&gt;"",T104&gt;0),1,IF(ISNUMBER(J104),IF(OR(J104&lt;0,AND(J104&gt;0,M104="Esgotado")),1,0),0)))</x:f>
        <x:v>0</x:v>
      </x:c>
      <x:c r="V104" s="163" t="str">
        <x:f>IF(A104="","",IF(OR(U104&gt;0,Listas!$B$13&lt;&gt;"OK"),"n.a.",IF(AND(J104&gt;0,M104="Liberado",G104&gt;=Listas!$B$6),J104,0)))</x:f>
      </x:c>
      <x:c r="W104" s="163" t="str">
        <x:f>IF(A104="","",IF(OR(U104&gt;0,Listas!$B$13&lt;&gt;"OK"),"n.a.",V104*K104))</x:f>
      </x:c>
      <x:c r="X104" s="167" t="n">
        <x:f>IF(COUNTA(A104:B104,D104:G104,I104,K104,M104,Q104,AB104:AD104)=0,0,IF(OR(Listas!$B$19="Todos",B104=Listas!$B$19,COUNTIFS(Produtos!$A$5:$A$204,B104)&lt;&gt;1),1,0))</x:f>
        <x:v>0</x:v>
      </x:c>
      <x:c r="Y104" s="167" t="str">
        <x:f>IF(X104=0,"",IF(Listas!$B$13&lt;&gt;"OK","Revisar parâmetros",IF(U104&gt;0,IF(S104&lt;&gt;"",S104,IF(T104&gt;0,"Revisar movimentos",IF(AND(ISNUMBER(J104),J104&lt;0),"Saldo negativo","Status esgotado com saldo"))),IF(AG104&lt;&gt;"",AG104&amp;". ","")&amp;IF(J104&lt;=0,"",IF(N104="VENCIDO","Validade vencida. ","")&amp;IF(M104="Quarentena","Em quarentena. ","")&amp;IF(M104="Bloqueado","Lote bloqueado. ","")&amp;IF(N104="CRÍTICO","Validade crítica. ","")&amp;IF(N104="VENCE NA JANELA","Vence na janela. ","")))))</x:f>
      </x:c>
      <x:c r="Z104" s="167" t="n">
        <x:f>IF(OR(X104=0,Y104=""),0,IF(OR(Listas!$B$13&lt;&gt;"OK",U104&gt;0,AH104&gt;0),1,IF(N104="VENCIDO",2,IF(OR(M104="Quarentena",M104="Bloqueado"),3,IF(N104="CRÍTICO",4,5)))))</x:f>
        <x:v>0</x:v>
      </x:c>
      <x:c r="AA104" s="167" t="n">
        <x:f>IF(Z104=0,0,COUNTIFS($Z$5:$Z$204,"&gt;0",$Z$5:$Z$204,"&lt;"&amp;Z104,$X$5:$X$204,1)+COUNTIFS($Z$5:Z104,Z104,$X$5:X104,1))</x:f>
        <x:v>0</x:v>
      </x:c>
      <x:c r="AB104" s="168"/>
      <x:c r="AC104" s="168"/>
      <x:c r="AD104" s="169"/>
      <x:c r="AE104" s="167" t="str">
        <x:f>IF(X104=0,"",IF(OR(U104&gt;0,Listas!$B$13&lt;&gt;"OK"),"Dados pendentes",IF(J104&lt;=0,"Sem saldo",IF(N104="VENCIDO","Vencidos",IF(OR(M104="Quarentena",M104="Bloqueado"),"Restritos vigentes",IF(OR(N104="CRÍTICO",N104="VENCE NA JANELA"),"Liberados na janela","Demais liberados"))))))</x:f>
      </x:c>
      <x:c r="AF104" s="167" t="str">
        <x:f>IF(A104&lt;&gt;"",A104,IF(U104&gt;0,"Sem ID (linha "&amp;ROW()&amp;")",""))</x:f>
      </x:c>
      <x:c r="AG104" s="167" t="str">
        <x:f>IF(AD104="","",IF(OR(NOT(ISNUMBER(AD104)),AD104&lt;=0),"Prazo da ação inválido",""))</x:f>
      </x:c>
      <x:c r="AH104" s="167" t="n">
        <x:f>IF(AG104="",0,1)</x:f>
        <x:v>0</x:v>
      </x:c>
    </x:row>
    <x:row r="105" ht="32" customHeight="1">
      <x:c r="A105" s="27"/>
      <x:c r="B105" s="27"/>
      <x:c r="C105" s="40" t="str">
        <x:f>IF($B105="","",IFERROR(INDEX(Produtos!$B$5:$B$204,MATCH($B105,Produtos!$A$5:$A$204,0)),""))</x:f>
      </x:c>
      <x:c r="D105" s="170"/>
      <x:c r="E105" s="179"/>
      <x:c r="F105" s="179"/>
      <x:c r="G105" s="179"/>
      <x:c r="H105" s="40" t="str">
        <x:f>IF(A105="","",IF(OR(S105&lt;&gt;"",Listas!$B$13&lt;&gt;"OK"),"n.a.",G105-Listas!$B$6))</x:f>
      </x:c>
      <x:c r="I105" s="40"/>
      <x:c r="J105" s="40" t="str">
        <x:f>IF(A105="","",IF(OR(S105&lt;&gt;"",T105&gt;0,Listas!$B$13&lt;&gt;"OK"),"n.a.",SUMIFS(Movimentacoes!$H$5:$H$304,Movimentacoes!$D$5:$D$304,A105,Movimentacoes!$B$5:$B$304,"&lt;="&amp;Listas!$B$6)))</x:f>
      </x:c>
      <x:c r="K105" s="180"/>
      <x:c r="L105" s="181" t="str">
        <x:f>IF(A105="","",IF(OR(U105&gt;0,Listas!$B$13&lt;&gt;"OK"),"n.a.",J105*K105))</x:f>
      </x:c>
      <x:c r="M105" s="27"/>
      <x:c r="N105" s="40" t="str">
        <x:f>IF(A105="","",IF(OR(U105&gt;0,Listas!$B$13&lt;&gt;"OK"),"REVISAR DADOS",IF(J105=0,"SEM SALDO",IF(G105&lt;Listas!$B$6,"VENCIDO",IF(H105&lt;=Listas!$B$7,"CRÍTICO",IF(H105&lt;=Listas!$B$8,"VENCE NA JANELA","OK"))))))</x:f>
      </x:c>
      <x:c r="O105" s="41" t="str">
        <x:f>IF(A105="","",IF(AND(ISNUMBER(V105),V105&gt;0),G105,""))</x:f>
      </x:c>
      <x:c r="P105" s="40" t="str">
        <x:f>IF(A105="","",IF(OR(U105&gt;0,Listas!$B$13&lt;&gt;"OK"),"REVISAR DADOS",IF(J105=0,"ARQUIVAR LOTE",IF(M105="Quarentena","DECIDIR LIBERAÇÃO",IF(M105="Bloqueado","SEGREGAR E INVESTIGAR",IF(M105="Esgotado","REVISAR STATUS COM SALDO",IF(N105="VENCIDO","SEGREGAR E AVALIAR DESTINAÇÃO",IF(OR(N105="CRÍTICO",N105="VENCE NA JANELA"),"PRIORIZAR FEFO","MANTER ROTAÇÃO"))))))))</x:f>
      </x:c>
      <x:c r="Q105" s="27"/>
      <x:c r="R105" s="181" t="str">
        <x:f>IF(A105="","",IF(OR(U105&gt;0,Listas!$B$13&lt;&gt;"OK"),"n.a.",IF(OR(N105="VENCIDO",N105="CRÍTICO",N105="VENCE NA JANELA",M105="Quarentena",M105="Bloqueado"),L105,0)))</x:f>
      </x:c>
      <x:c r="S105" s="163" t="str">
        <x:f>IF(COUNTA(A105:B105,D105:G105,I105,K105,M105,Q105,AB105:AD105)=0,"",IF(OR(A105="",COUNTIFS($A$5:$A$204,A105)&lt;&gt;1),"Lote ausente ou duplicado",IF(OR(B105="",COUNTIFS(Produtos!$A$5:$A$204,B105)&lt;&gt;1),"SKU ausente ou desconhecido",IF(COUNTIFS(Produtos!$A$5:$A$204,B105,Produtos!$R$5:$R$204,1)&gt;0,"Revisar cadastro do produto",IF(OR(NOT(ISNUMBER(E105)),E105&lt;=0,NOT(ISNUMBER(G105)),G105&lt;=0,G105&lt;E105),"Recebimento ou validade inválida",IF(AND(F105&lt;&gt;"",OR(NOT(ISNUMBER(F105)),F105&lt;=0,F105&gt;E105)),"Fabricação inválida ou posterior ao recebimento",IF(OR(NOT(ISNUMBER(K105)),K105&lt;0,NOT(ISNUMBER(I105)),I105&lt;0),"Quantidade recebida ou custo inválido",IF(AND(M105&lt;&gt;"Liberado",M105&lt;&gt;"Quarentena",M105&lt;&gt;"Bloqueado",M105&lt;&gt;"Esgotado"),"Status de lote inválido",""))))))))</x:f>
      </x:c>
      <x:c r="T105" s="163" t="n">
        <x:f>IF(A105="",0,COUNTIFS(Movimentacoes!$D$5:$D$304,A105,Movimentacoes!$P$5:$P$304,1))</x:f>
        <x:v>0</x:v>
      </x:c>
      <x:c r="U105" s="163" t="n">
        <x:f>IF(COUNTA(A105:B105,D105:G105,I105,K105,M105,Q105,AB105:AD105)=0,0,IF(OR(S105&lt;&gt;"",T105&gt;0),1,IF(ISNUMBER(J105),IF(OR(J105&lt;0,AND(J105&gt;0,M105="Esgotado")),1,0),0)))</x:f>
        <x:v>0</x:v>
      </x:c>
      <x:c r="V105" s="163" t="str">
        <x:f>IF(A105="","",IF(OR(U105&gt;0,Listas!$B$13&lt;&gt;"OK"),"n.a.",IF(AND(J105&gt;0,M105="Liberado",G105&gt;=Listas!$B$6),J105,0)))</x:f>
      </x:c>
      <x:c r="W105" s="163" t="str">
        <x:f>IF(A105="","",IF(OR(U105&gt;0,Listas!$B$13&lt;&gt;"OK"),"n.a.",V105*K105))</x:f>
      </x:c>
      <x:c r="X105" s="167" t="n">
        <x:f>IF(COUNTA(A105:B105,D105:G105,I105,K105,M105,Q105,AB105:AD105)=0,0,IF(OR(Listas!$B$19="Todos",B105=Listas!$B$19,COUNTIFS(Produtos!$A$5:$A$204,B105)&lt;&gt;1),1,0))</x:f>
        <x:v>0</x:v>
      </x:c>
      <x:c r="Y105" s="167" t="str">
        <x:f>IF(X105=0,"",IF(Listas!$B$13&lt;&gt;"OK","Revisar parâmetros",IF(U105&gt;0,IF(S105&lt;&gt;"",S105,IF(T105&gt;0,"Revisar movimentos",IF(AND(ISNUMBER(J105),J105&lt;0),"Saldo negativo","Status esgotado com saldo"))),IF(AG105&lt;&gt;"",AG105&amp;". ","")&amp;IF(J105&lt;=0,"",IF(N105="VENCIDO","Validade vencida. ","")&amp;IF(M105="Quarentena","Em quarentena. ","")&amp;IF(M105="Bloqueado","Lote bloqueado. ","")&amp;IF(N105="CRÍTICO","Validade crítica. ","")&amp;IF(N105="VENCE NA JANELA","Vence na janela. ","")))))</x:f>
      </x:c>
      <x:c r="Z105" s="167" t="n">
        <x:f>IF(OR(X105=0,Y105=""),0,IF(OR(Listas!$B$13&lt;&gt;"OK",U105&gt;0,AH105&gt;0),1,IF(N105="VENCIDO",2,IF(OR(M105="Quarentena",M105="Bloqueado"),3,IF(N105="CRÍTICO",4,5)))))</x:f>
        <x:v>0</x:v>
      </x:c>
      <x:c r="AA105" s="167" t="n">
        <x:f>IF(Z105=0,0,COUNTIFS($Z$5:$Z$204,"&gt;0",$Z$5:$Z$204,"&lt;"&amp;Z105,$X$5:$X$204,1)+COUNTIFS($Z$5:Z105,Z105,$X$5:X105,1))</x:f>
        <x:v>0</x:v>
      </x:c>
      <x:c r="AB105" s="168"/>
      <x:c r="AC105" s="168"/>
      <x:c r="AD105" s="169"/>
      <x:c r="AE105" s="167" t="str">
        <x:f>IF(X105=0,"",IF(OR(U105&gt;0,Listas!$B$13&lt;&gt;"OK"),"Dados pendentes",IF(J105&lt;=0,"Sem saldo",IF(N105="VENCIDO","Vencidos",IF(OR(M105="Quarentena",M105="Bloqueado"),"Restritos vigentes",IF(OR(N105="CRÍTICO",N105="VENCE NA JANELA"),"Liberados na janela","Demais liberados"))))))</x:f>
      </x:c>
      <x:c r="AF105" s="167" t="str">
        <x:f>IF(A105&lt;&gt;"",A105,IF(U105&gt;0,"Sem ID (linha "&amp;ROW()&amp;")",""))</x:f>
      </x:c>
      <x:c r="AG105" s="167" t="str">
        <x:f>IF(AD105="","",IF(OR(NOT(ISNUMBER(AD105)),AD105&lt;=0),"Prazo da ação inválido",""))</x:f>
      </x:c>
      <x:c r="AH105" s="167" t="n">
        <x:f>IF(AG105="",0,1)</x:f>
        <x:v>0</x:v>
      </x:c>
    </x:row>
    <x:row r="106" ht="32" customHeight="1">
      <x:c r="A106" s="27"/>
      <x:c r="B106" s="27"/>
      <x:c r="C106" s="40" t="str">
        <x:f>IF($B106="","",IFERROR(INDEX(Produtos!$B$5:$B$204,MATCH($B106,Produtos!$A$5:$A$204,0)),""))</x:f>
      </x:c>
      <x:c r="D106" s="170"/>
      <x:c r="E106" s="179"/>
      <x:c r="F106" s="179"/>
      <x:c r="G106" s="179"/>
      <x:c r="H106" s="40" t="str">
        <x:f>IF(A106="","",IF(OR(S106&lt;&gt;"",Listas!$B$13&lt;&gt;"OK"),"n.a.",G106-Listas!$B$6))</x:f>
      </x:c>
      <x:c r="I106" s="40"/>
      <x:c r="J106" s="40" t="str">
        <x:f>IF(A106="","",IF(OR(S106&lt;&gt;"",T106&gt;0,Listas!$B$13&lt;&gt;"OK"),"n.a.",SUMIFS(Movimentacoes!$H$5:$H$304,Movimentacoes!$D$5:$D$304,A106,Movimentacoes!$B$5:$B$304,"&lt;="&amp;Listas!$B$6)))</x:f>
      </x:c>
      <x:c r="K106" s="180"/>
      <x:c r="L106" s="181" t="str">
        <x:f>IF(A106="","",IF(OR(U106&gt;0,Listas!$B$13&lt;&gt;"OK"),"n.a.",J106*K106))</x:f>
      </x:c>
      <x:c r="M106" s="27"/>
      <x:c r="N106" s="40" t="str">
        <x:f>IF(A106="","",IF(OR(U106&gt;0,Listas!$B$13&lt;&gt;"OK"),"REVISAR DADOS",IF(J106=0,"SEM SALDO",IF(G106&lt;Listas!$B$6,"VENCIDO",IF(H106&lt;=Listas!$B$7,"CRÍTICO",IF(H106&lt;=Listas!$B$8,"VENCE NA JANELA","OK"))))))</x:f>
      </x:c>
      <x:c r="O106" s="41" t="str">
        <x:f>IF(A106="","",IF(AND(ISNUMBER(V106),V106&gt;0),G106,""))</x:f>
      </x:c>
      <x:c r="P106" s="40" t="str">
        <x:f>IF(A106="","",IF(OR(U106&gt;0,Listas!$B$13&lt;&gt;"OK"),"REVISAR DADOS",IF(J106=0,"ARQUIVAR LOTE",IF(M106="Quarentena","DECIDIR LIBERAÇÃO",IF(M106="Bloqueado","SEGREGAR E INVESTIGAR",IF(M106="Esgotado","REVISAR STATUS COM SALDO",IF(N106="VENCIDO","SEGREGAR E AVALIAR DESTINAÇÃO",IF(OR(N106="CRÍTICO",N106="VENCE NA JANELA"),"PRIORIZAR FEFO","MANTER ROTAÇÃO"))))))))</x:f>
      </x:c>
      <x:c r="Q106" s="27"/>
      <x:c r="R106" s="181" t="str">
        <x:f>IF(A106="","",IF(OR(U106&gt;0,Listas!$B$13&lt;&gt;"OK"),"n.a.",IF(OR(N106="VENCIDO",N106="CRÍTICO",N106="VENCE NA JANELA",M106="Quarentena",M106="Bloqueado"),L106,0)))</x:f>
      </x:c>
      <x:c r="S106" s="163" t="str">
        <x:f>IF(COUNTA(A106:B106,D106:G106,I106,K106,M106,Q106,AB106:AD106)=0,"",IF(OR(A106="",COUNTIFS($A$5:$A$204,A106)&lt;&gt;1),"Lote ausente ou duplicado",IF(OR(B106="",COUNTIFS(Produtos!$A$5:$A$204,B106)&lt;&gt;1),"SKU ausente ou desconhecido",IF(COUNTIFS(Produtos!$A$5:$A$204,B106,Produtos!$R$5:$R$204,1)&gt;0,"Revisar cadastro do produto",IF(OR(NOT(ISNUMBER(E106)),E106&lt;=0,NOT(ISNUMBER(G106)),G106&lt;=0,G106&lt;E106),"Recebimento ou validade inválida",IF(AND(F106&lt;&gt;"",OR(NOT(ISNUMBER(F106)),F106&lt;=0,F106&gt;E106)),"Fabricação inválida ou posterior ao recebimento",IF(OR(NOT(ISNUMBER(K106)),K106&lt;0,NOT(ISNUMBER(I106)),I106&lt;0),"Quantidade recebida ou custo inválido",IF(AND(M106&lt;&gt;"Liberado",M106&lt;&gt;"Quarentena",M106&lt;&gt;"Bloqueado",M106&lt;&gt;"Esgotado"),"Status de lote inválido",""))))))))</x:f>
      </x:c>
      <x:c r="T106" s="163" t="n">
        <x:f>IF(A106="",0,COUNTIFS(Movimentacoes!$D$5:$D$304,A106,Movimentacoes!$P$5:$P$304,1))</x:f>
        <x:v>0</x:v>
      </x:c>
      <x:c r="U106" s="163" t="n">
        <x:f>IF(COUNTA(A106:B106,D106:G106,I106,K106,M106,Q106,AB106:AD106)=0,0,IF(OR(S106&lt;&gt;"",T106&gt;0),1,IF(ISNUMBER(J106),IF(OR(J106&lt;0,AND(J106&gt;0,M106="Esgotado")),1,0),0)))</x:f>
        <x:v>0</x:v>
      </x:c>
      <x:c r="V106" s="163" t="str">
        <x:f>IF(A106="","",IF(OR(U106&gt;0,Listas!$B$13&lt;&gt;"OK"),"n.a.",IF(AND(J106&gt;0,M106="Liberado",G106&gt;=Listas!$B$6),J106,0)))</x:f>
      </x:c>
      <x:c r="W106" s="163" t="str">
        <x:f>IF(A106="","",IF(OR(U106&gt;0,Listas!$B$13&lt;&gt;"OK"),"n.a.",V106*K106))</x:f>
      </x:c>
      <x:c r="X106" s="167" t="n">
        <x:f>IF(COUNTA(A106:B106,D106:G106,I106,K106,M106,Q106,AB106:AD106)=0,0,IF(OR(Listas!$B$19="Todos",B106=Listas!$B$19,COUNTIFS(Produtos!$A$5:$A$204,B106)&lt;&gt;1),1,0))</x:f>
        <x:v>0</x:v>
      </x:c>
      <x:c r="Y106" s="167" t="str">
        <x:f>IF(X106=0,"",IF(Listas!$B$13&lt;&gt;"OK","Revisar parâmetros",IF(U106&gt;0,IF(S106&lt;&gt;"",S106,IF(T106&gt;0,"Revisar movimentos",IF(AND(ISNUMBER(J106),J106&lt;0),"Saldo negativo","Status esgotado com saldo"))),IF(AG106&lt;&gt;"",AG106&amp;". ","")&amp;IF(J106&lt;=0,"",IF(N106="VENCIDO","Validade vencida. ","")&amp;IF(M106="Quarentena","Em quarentena. ","")&amp;IF(M106="Bloqueado","Lote bloqueado. ","")&amp;IF(N106="CRÍTICO","Validade crítica. ","")&amp;IF(N106="VENCE NA JANELA","Vence na janela. ","")))))</x:f>
      </x:c>
      <x:c r="Z106" s="167" t="n">
        <x:f>IF(OR(X106=0,Y106=""),0,IF(OR(Listas!$B$13&lt;&gt;"OK",U106&gt;0,AH106&gt;0),1,IF(N106="VENCIDO",2,IF(OR(M106="Quarentena",M106="Bloqueado"),3,IF(N106="CRÍTICO",4,5)))))</x:f>
        <x:v>0</x:v>
      </x:c>
      <x:c r="AA106" s="167" t="n">
        <x:f>IF(Z106=0,0,COUNTIFS($Z$5:$Z$204,"&gt;0",$Z$5:$Z$204,"&lt;"&amp;Z106,$X$5:$X$204,1)+COUNTIFS($Z$5:Z106,Z106,$X$5:X106,1))</x:f>
        <x:v>0</x:v>
      </x:c>
      <x:c r="AB106" s="168"/>
      <x:c r="AC106" s="168"/>
      <x:c r="AD106" s="169"/>
      <x:c r="AE106" s="167" t="str">
        <x:f>IF(X106=0,"",IF(OR(U106&gt;0,Listas!$B$13&lt;&gt;"OK"),"Dados pendentes",IF(J106&lt;=0,"Sem saldo",IF(N106="VENCIDO","Vencidos",IF(OR(M106="Quarentena",M106="Bloqueado"),"Restritos vigentes",IF(OR(N106="CRÍTICO",N106="VENCE NA JANELA"),"Liberados na janela","Demais liberados"))))))</x:f>
      </x:c>
      <x:c r="AF106" s="167" t="str">
        <x:f>IF(A106&lt;&gt;"",A106,IF(U106&gt;0,"Sem ID (linha "&amp;ROW()&amp;")",""))</x:f>
      </x:c>
      <x:c r="AG106" s="167" t="str">
        <x:f>IF(AD106="","",IF(OR(NOT(ISNUMBER(AD106)),AD106&lt;=0),"Prazo da ação inválido",""))</x:f>
      </x:c>
      <x:c r="AH106" s="167" t="n">
        <x:f>IF(AG106="",0,1)</x:f>
        <x:v>0</x:v>
      </x:c>
    </x:row>
    <x:row r="107" ht="32" customHeight="1">
      <x:c r="A107" s="27"/>
      <x:c r="B107" s="27"/>
      <x:c r="C107" s="40" t="str">
        <x:f>IF($B107="","",IFERROR(INDEX(Produtos!$B$5:$B$204,MATCH($B107,Produtos!$A$5:$A$204,0)),""))</x:f>
      </x:c>
      <x:c r="D107" s="170"/>
      <x:c r="E107" s="179"/>
      <x:c r="F107" s="179"/>
      <x:c r="G107" s="179"/>
      <x:c r="H107" s="40" t="str">
        <x:f>IF(A107="","",IF(OR(S107&lt;&gt;"",Listas!$B$13&lt;&gt;"OK"),"n.a.",G107-Listas!$B$6))</x:f>
      </x:c>
      <x:c r="I107" s="40"/>
      <x:c r="J107" s="40" t="str">
        <x:f>IF(A107="","",IF(OR(S107&lt;&gt;"",T107&gt;0,Listas!$B$13&lt;&gt;"OK"),"n.a.",SUMIFS(Movimentacoes!$H$5:$H$304,Movimentacoes!$D$5:$D$304,A107,Movimentacoes!$B$5:$B$304,"&lt;="&amp;Listas!$B$6)))</x:f>
      </x:c>
      <x:c r="K107" s="180"/>
      <x:c r="L107" s="181" t="str">
        <x:f>IF(A107="","",IF(OR(U107&gt;0,Listas!$B$13&lt;&gt;"OK"),"n.a.",J107*K107))</x:f>
      </x:c>
      <x:c r="M107" s="27"/>
      <x:c r="N107" s="40" t="str">
        <x:f>IF(A107="","",IF(OR(U107&gt;0,Listas!$B$13&lt;&gt;"OK"),"REVISAR DADOS",IF(J107=0,"SEM SALDO",IF(G107&lt;Listas!$B$6,"VENCIDO",IF(H107&lt;=Listas!$B$7,"CRÍTICO",IF(H107&lt;=Listas!$B$8,"VENCE NA JANELA","OK"))))))</x:f>
      </x:c>
      <x:c r="O107" s="41" t="str">
        <x:f>IF(A107="","",IF(AND(ISNUMBER(V107),V107&gt;0),G107,""))</x:f>
      </x:c>
      <x:c r="P107" s="40" t="str">
        <x:f>IF(A107="","",IF(OR(U107&gt;0,Listas!$B$13&lt;&gt;"OK"),"REVISAR DADOS",IF(J107=0,"ARQUIVAR LOTE",IF(M107="Quarentena","DECIDIR LIBERAÇÃO",IF(M107="Bloqueado","SEGREGAR E INVESTIGAR",IF(M107="Esgotado","REVISAR STATUS COM SALDO",IF(N107="VENCIDO","SEGREGAR E AVALIAR DESTINAÇÃO",IF(OR(N107="CRÍTICO",N107="VENCE NA JANELA"),"PRIORIZAR FEFO","MANTER ROTAÇÃO"))))))))</x:f>
      </x:c>
      <x:c r="Q107" s="27"/>
      <x:c r="R107" s="181" t="str">
        <x:f>IF(A107="","",IF(OR(U107&gt;0,Listas!$B$13&lt;&gt;"OK"),"n.a.",IF(OR(N107="VENCIDO",N107="CRÍTICO",N107="VENCE NA JANELA",M107="Quarentena",M107="Bloqueado"),L107,0)))</x:f>
      </x:c>
      <x:c r="S107" s="163" t="str">
        <x:f>IF(COUNTA(A107:B107,D107:G107,I107,K107,M107,Q107,AB107:AD107)=0,"",IF(OR(A107="",COUNTIFS($A$5:$A$204,A107)&lt;&gt;1),"Lote ausente ou duplicado",IF(OR(B107="",COUNTIFS(Produtos!$A$5:$A$204,B107)&lt;&gt;1),"SKU ausente ou desconhecido",IF(COUNTIFS(Produtos!$A$5:$A$204,B107,Produtos!$R$5:$R$204,1)&gt;0,"Revisar cadastro do produto",IF(OR(NOT(ISNUMBER(E107)),E107&lt;=0,NOT(ISNUMBER(G107)),G107&lt;=0,G107&lt;E107),"Recebimento ou validade inválida",IF(AND(F107&lt;&gt;"",OR(NOT(ISNUMBER(F107)),F107&lt;=0,F107&gt;E107)),"Fabricação inválida ou posterior ao recebimento",IF(OR(NOT(ISNUMBER(K107)),K107&lt;0,NOT(ISNUMBER(I107)),I107&lt;0),"Quantidade recebida ou custo inválido",IF(AND(M107&lt;&gt;"Liberado",M107&lt;&gt;"Quarentena",M107&lt;&gt;"Bloqueado",M107&lt;&gt;"Esgotado"),"Status de lote inválido",""))))))))</x:f>
      </x:c>
      <x:c r="T107" s="163" t="n">
        <x:f>IF(A107="",0,COUNTIFS(Movimentacoes!$D$5:$D$304,A107,Movimentacoes!$P$5:$P$304,1))</x:f>
        <x:v>0</x:v>
      </x:c>
      <x:c r="U107" s="163" t="n">
        <x:f>IF(COUNTA(A107:B107,D107:G107,I107,K107,M107,Q107,AB107:AD107)=0,0,IF(OR(S107&lt;&gt;"",T107&gt;0),1,IF(ISNUMBER(J107),IF(OR(J107&lt;0,AND(J107&gt;0,M107="Esgotado")),1,0),0)))</x:f>
        <x:v>0</x:v>
      </x:c>
      <x:c r="V107" s="163" t="str">
        <x:f>IF(A107="","",IF(OR(U107&gt;0,Listas!$B$13&lt;&gt;"OK"),"n.a.",IF(AND(J107&gt;0,M107="Liberado",G107&gt;=Listas!$B$6),J107,0)))</x:f>
      </x:c>
      <x:c r="W107" s="163" t="str">
        <x:f>IF(A107="","",IF(OR(U107&gt;0,Listas!$B$13&lt;&gt;"OK"),"n.a.",V107*K107))</x:f>
      </x:c>
      <x:c r="X107" s="167" t="n">
        <x:f>IF(COUNTA(A107:B107,D107:G107,I107,K107,M107,Q107,AB107:AD107)=0,0,IF(OR(Listas!$B$19="Todos",B107=Listas!$B$19,COUNTIFS(Produtos!$A$5:$A$204,B107)&lt;&gt;1),1,0))</x:f>
        <x:v>0</x:v>
      </x:c>
      <x:c r="Y107" s="167" t="str">
        <x:f>IF(X107=0,"",IF(Listas!$B$13&lt;&gt;"OK","Revisar parâmetros",IF(U107&gt;0,IF(S107&lt;&gt;"",S107,IF(T107&gt;0,"Revisar movimentos",IF(AND(ISNUMBER(J107),J107&lt;0),"Saldo negativo","Status esgotado com saldo"))),IF(AG107&lt;&gt;"",AG107&amp;". ","")&amp;IF(J107&lt;=0,"",IF(N107="VENCIDO","Validade vencida. ","")&amp;IF(M107="Quarentena","Em quarentena. ","")&amp;IF(M107="Bloqueado","Lote bloqueado. ","")&amp;IF(N107="CRÍTICO","Validade crítica. ","")&amp;IF(N107="VENCE NA JANELA","Vence na janela. ","")))))</x:f>
      </x:c>
      <x:c r="Z107" s="167" t="n">
        <x:f>IF(OR(X107=0,Y107=""),0,IF(OR(Listas!$B$13&lt;&gt;"OK",U107&gt;0,AH107&gt;0),1,IF(N107="VENCIDO",2,IF(OR(M107="Quarentena",M107="Bloqueado"),3,IF(N107="CRÍTICO",4,5)))))</x:f>
        <x:v>0</x:v>
      </x:c>
      <x:c r="AA107" s="167" t="n">
        <x:f>IF(Z107=0,0,COUNTIFS($Z$5:$Z$204,"&gt;0",$Z$5:$Z$204,"&lt;"&amp;Z107,$X$5:$X$204,1)+COUNTIFS($Z$5:Z107,Z107,$X$5:X107,1))</x:f>
        <x:v>0</x:v>
      </x:c>
      <x:c r="AB107" s="168"/>
      <x:c r="AC107" s="168"/>
      <x:c r="AD107" s="169"/>
      <x:c r="AE107" s="167" t="str">
        <x:f>IF(X107=0,"",IF(OR(U107&gt;0,Listas!$B$13&lt;&gt;"OK"),"Dados pendentes",IF(J107&lt;=0,"Sem saldo",IF(N107="VENCIDO","Vencidos",IF(OR(M107="Quarentena",M107="Bloqueado"),"Restritos vigentes",IF(OR(N107="CRÍTICO",N107="VENCE NA JANELA"),"Liberados na janela","Demais liberados"))))))</x:f>
      </x:c>
      <x:c r="AF107" s="167" t="str">
        <x:f>IF(A107&lt;&gt;"",A107,IF(U107&gt;0,"Sem ID (linha "&amp;ROW()&amp;")",""))</x:f>
      </x:c>
      <x:c r="AG107" s="167" t="str">
        <x:f>IF(AD107="","",IF(OR(NOT(ISNUMBER(AD107)),AD107&lt;=0),"Prazo da ação inválido",""))</x:f>
      </x:c>
      <x:c r="AH107" s="167" t="n">
        <x:f>IF(AG107="",0,1)</x:f>
        <x:v>0</x:v>
      </x:c>
    </x:row>
    <x:row r="108" ht="32" customHeight="1">
      <x:c r="A108" s="27"/>
      <x:c r="B108" s="27"/>
      <x:c r="C108" s="40" t="str">
        <x:f>IF($B108="","",IFERROR(INDEX(Produtos!$B$5:$B$204,MATCH($B108,Produtos!$A$5:$A$204,0)),""))</x:f>
      </x:c>
      <x:c r="D108" s="170"/>
      <x:c r="E108" s="179"/>
      <x:c r="F108" s="179"/>
      <x:c r="G108" s="179"/>
      <x:c r="H108" s="40" t="str">
        <x:f>IF(A108="","",IF(OR(S108&lt;&gt;"",Listas!$B$13&lt;&gt;"OK"),"n.a.",G108-Listas!$B$6))</x:f>
      </x:c>
      <x:c r="I108" s="40"/>
      <x:c r="J108" s="40" t="str">
        <x:f>IF(A108="","",IF(OR(S108&lt;&gt;"",T108&gt;0,Listas!$B$13&lt;&gt;"OK"),"n.a.",SUMIFS(Movimentacoes!$H$5:$H$304,Movimentacoes!$D$5:$D$304,A108,Movimentacoes!$B$5:$B$304,"&lt;="&amp;Listas!$B$6)))</x:f>
      </x:c>
      <x:c r="K108" s="180"/>
      <x:c r="L108" s="181" t="str">
        <x:f>IF(A108="","",IF(OR(U108&gt;0,Listas!$B$13&lt;&gt;"OK"),"n.a.",J108*K108))</x:f>
      </x:c>
      <x:c r="M108" s="27"/>
      <x:c r="N108" s="40" t="str">
        <x:f>IF(A108="","",IF(OR(U108&gt;0,Listas!$B$13&lt;&gt;"OK"),"REVISAR DADOS",IF(J108=0,"SEM SALDO",IF(G108&lt;Listas!$B$6,"VENCIDO",IF(H108&lt;=Listas!$B$7,"CRÍTICO",IF(H108&lt;=Listas!$B$8,"VENCE NA JANELA","OK"))))))</x:f>
      </x:c>
      <x:c r="O108" s="41" t="str">
        <x:f>IF(A108="","",IF(AND(ISNUMBER(V108),V108&gt;0),G108,""))</x:f>
      </x:c>
      <x:c r="P108" s="40" t="str">
        <x:f>IF(A108="","",IF(OR(U108&gt;0,Listas!$B$13&lt;&gt;"OK"),"REVISAR DADOS",IF(J108=0,"ARQUIVAR LOTE",IF(M108="Quarentena","DECIDIR LIBERAÇÃO",IF(M108="Bloqueado","SEGREGAR E INVESTIGAR",IF(M108="Esgotado","REVISAR STATUS COM SALDO",IF(N108="VENCIDO","SEGREGAR E AVALIAR DESTINAÇÃO",IF(OR(N108="CRÍTICO",N108="VENCE NA JANELA"),"PRIORIZAR FEFO","MANTER ROTAÇÃO"))))))))</x:f>
      </x:c>
      <x:c r="Q108" s="27"/>
      <x:c r="R108" s="181" t="str">
        <x:f>IF(A108="","",IF(OR(U108&gt;0,Listas!$B$13&lt;&gt;"OK"),"n.a.",IF(OR(N108="VENCIDO",N108="CRÍTICO",N108="VENCE NA JANELA",M108="Quarentena",M108="Bloqueado"),L108,0)))</x:f>
      </x:c>
      <x:c r="S108" s="163" t="str">
        <x:f>IF(COUNTA(A108:B108,D108:G108,I108,K108,M108,Q108,AB108:AD108)=0,"",IF(OR(A108="",COUNTIFS($A$5:$A$204,A108)&lt;&gt;1),"Lote ausente ou duplicado",IF(OR(B108="",COUNTIFS(Produtos!$A$5:$A$204,B108)&lt;&gt;1),"SKU ausente ou desconhecido",IF(COUNTIFS(Produtos!$A$5:$A$204,B108,Produtos!$R$5:$R$204,1)&gt;0,"Revisar cadastro do produto",IF(OR(NOT(ISNUMBER(E108)),E108&lt;=0,NOT(ISNUMBER(G108)),G108&lt;=0,G108&lt;E108),"Recebimento ou validade inválida",IF(AND(F108&lt;&gt;"",OR(NOT(ISNUMBER(F108)),F108&lt;=0,F108&gt;E108)),"Fabricação inválida ou posterior ao recebimento",IF(OR(NOT(ISNUMBER(K108)),K108&lt;0,NOT(ISNUMBER(I108)),I108&lt;0),"Quantidade recebida ou custo inválido",IF(AND(M108&lt;&gt;"Liberado",M108&lt;&gt;"Quarentena",M108&lt;&gt;"Bloqueado",M108&lt;&gt;"Esgotado"),"Status de lote inválido",""))))))))</x:f>
      </x:c>
      <x:c r="T108" s="163" t="n">
        <x:f>IF(A108="",0,COUNTIFS(Movimentacoes!$D$5:$D$304,A108,Movimentacoes!$P$5:$P$304,1))</x:f>
        <x:v>0</x:v>
      </x:c>
      <x:c r="U108" s="163" t="n">
        <x:f>IF(COUNTA(A108:B108,D108:G108,I108,K108,M108,Q108,AB108:AD108)=0,0,IF(OR(S108&lt;&gt;"",T108&gt;0),1,IF(ISNUMBER(J108),IF(OR(J108&lt;0,AND(J108&gt;0,M108="Esgotado")),1,0),0)))</x:f>
        <x:v>0</x:v>
      </x:c>
      <x:c r="V108" s="163" t="str">
        <x:f>IF(A108="","",IF(OR(U108&gt;0,Listas!$B$13&lt;&gt;"OK"),"n.a.",IF(AND(J108&gt;0,M108="Liberado",G108&gt;=Listas!$B$6),J108,0)))</x:f>
      </x:c>
      <x:c r="W108" s="163" t="str">
        <x:f>IF(A108="","",IF(OR(U108&gt;0,Listas!$B$13&lt;&gt;"OK"),"n.a.",V108*K108))</x:f>
      </x:c>
      <x:c r="X108" s="167" t="n">
        <x:f>IF(COUNTA(A108:B108,D108:G108,I108,K108,M108,Q108,AB108:AD108)=0,0,IF(OR(Listas!$B$19="Todos",B108=Listas!$B$19,COUNTIFS(Produtos!$A$5:$A$204,B108)&lt;&gt;1),1,0))</x:f>
        <x:v>0</x:v>
      </x:c>
      <x:c r="Y108" s="167" t="str">
        <x:f>IF(X108=0,"",IF(Listas!$B$13&lt;&gt;"OK","Revisar parâmetros",IF(U108&gt;0,IF(S108&lt;&gt;"",S108,IF(T108&gt;0,"Revisar movimentos",IF(AND(ISNUMBER(J108),J108&lt;0),"Saldo negativo","Status esgotado com saldo"))),IF(AG108&lt;&gt;"",AG108&amp;". ","")&amp;IF(J108&lt;=0,"",IF(N108="VENCIDO","Validade vencida. ","")&amp;IF(M108="Quarentena","Em quarentena. ","")&amp;IF(M108="Bloqueado","Lote bloqueado. ","")&amp;IF(N108="CRÍTICO","Validade crítica. ","")&amp;IF(N108="VENCE NA JANELA","Vence na janela. ","")))))</x:f>
      </x:c>
      <x:c r="Z108" s="167" t="n">
        <x:f>IF(OR(X108=0,Y108=""),0,IF(OR(Listas!$B$13&lt;&gt;"OK",U108&gt;0,AH108&gt;0),1,IF(N108="VENCIDO",2,IF(OR(M108="Quarentena",M108="Bloqueado"),3,IF(N108="CRÍTICO",4,5)))))</x:f>
        <x:v>0</x:v>
      </x:c>
      <x:c r="AA108" s="167" t="n">
        <x:f>IF(Z108=0,0,COUNTIFS($Z$5:$Z$204,"&gt;0",$Z$5:$Z$204,"&lt;"&amp;Z108,$X$5:$X$204,1)+COUNTIFS($Z$5:Z108,Z108,$X$5:X108,1))</x:f>
        <x:v>0</x:v>
      </x:c>
      <x:c r="AB108" s="168"/>
      <x:c r="AC108" s="168"/>
      <x:c r="AD108" s="169"/>
      <x:c r="AE108" s="167" t="str">
        <x:f>IF(X108=0,"",IF(OR(U108&gt;0,Listas!$B$13&lt;&gt;"OK"),"Dados pendentes",IF(J108&lt;=0,"Sem saldo",IF(N108="VENCIDO","Vencidos",IF(OR(M108="Quarentena",M108="Bloqueado"),"Restritos vigentes",IF(OR(N108="CRÍTICO",N108="VENCE NA JANELA"),"Liberados na janela","Demais liberados"))))))</x:f>
      </x:c>
      <x:c r="AF108" s="167" t="str">
        <x:f>IF(A108&lt;&gt;"",A108,IF(U108&gt;0,"Sem ID (linha "&amp;ROW()&amp;")",""))</x:f>
      </x:c>
      <x:c r="AG108" s="167" t="str">
        <x:f>IF(AD108="","",IF(OR(NOT(ISNUMBER(AD108)),AD108&lt;=0),"Prazo da ação inválido",""))</x:f>
      </x:c>
      <x:c r="AH108" s="167" t="n">
        <x:f>IF(AG108="",0,1)</x:f>
        <x:v>0</x:v>
      </x:c>
    </x:row>
    <x:row r="109" ht="32" customHeight="1">
      <x:c r="A109" s="27"/>
      <x:c r="B109" s="27"/>
      <x:c r="C109" s="40" t="str">
        <x:f>IF($B109="","",IFERROR(INDEX(Produtos!$B$5:$B$204,MATCH($B109,Produtos!$A$5:$A$204,0)),""))</x:f>
      </x:c>
      <x:c r="D109" s="170"/>
      <x:c r="E109" s="179"/>
      <x:c r="F109" s="179"/>
      <x:c r="G109" s="179"/>
      <x:c r="H109" s="40" t="str">
        <x:f>IF(A109="","",IF(OR(S109&lt;&gt;"",Listas!$B$13&lt;&gt;"OK"),"n.a.",G109-Listas!$B$6))</x:f>
      </x:c>
      <x:c r="I109" s="40"/>
      <x:c r="J109" s="40" t="str">
        <x:f>IF(A109="","",IF(OR(S109&lt;&gt;"",T109&gt;0,Listas!$B$13&lt;&gt;"OK"),"n.a.",SUMIFS(Movimentacoes!$H$5:$H$304,Movimentacoes!$D$5:$D$304,A109,Movimentacoes!$B$5:$B$304,"&lt;="&amp;Listas!$B$6)))</x:f>
      </x:c>
      <x:c r="K109" s="180"/>
      <x:c r="L109" s="181" t="str">
        <x:f>IF(A109="","",IF(OR(U109&gt;0,Listas!$B$13&lt;&gt;"OK"),"n.a.",J109*K109))</x:f>
      </x:c>
      <x:c r="M109" s="27"/>
      <x:c r="N109" s="40" t="str">
        <x:f>IF(A109="","",IF(OR(U109&gt;0,Listas!$B$13&lt;&gt;"OK"),"REVISAR DADOS",IF(J109=0,"SEM SALDO",IF(G109&lt;Listas!$B$6,"VENCIDO",IF(H109&lt;=Listas!$B$7,"CRÍTICO",IF(H109&lt;=Listas!$B$8,"VENCE NA JANELA","OK"))))))</x:f>
      </x:c>
      <x:c r="O109" s="41" t="str">
        <x:f>IF(A109="","",IF(AND(ISNUMBER(V109),V109&gt;0),G109,""))</x:f>
      </x:c>
      <x:c r="P109" s="40" t="str">
        <x:f>IF(A109="","",IF(OR(U109&gt;0,Listas!$B$13&lt;&gt;"OK"),"REVISAR DADOS",IF(J109=0,"ARQUIVAR LOTE",IF(M109="Quarentena","DECIDIR LIBERAÇÃO",IF(M109="Bloqueado","SEGREGAR E INVESTIGAR",IF(M109="Esgotado","REVISAR STATUS COM SALDO",IF(N109="VENCIDO","SEGREGAR E AVALIAR DESTINAÇÃO",IF(OR(N109="CRÍTICO",N109="VENCE NA JANELA"),"PRIORIZAR FEFO","MANTER ROTAÇÃO"))))))))</x:f>
      </x:c>
      <x:c r="Q109" s="27"/>
      <x:c r="R109" s="181" t="str">
        <x:f>IF(A109="","",IF(OR(U109&gt;0,Listas!$B$13&lt;&gt;"OK"),"n.a.",IF(OR(N109="VENCIDO",N109="CRÍTICO",N109="VENCE NA JANELA",M109="Quarentena",M109="Bloqueado"),L109,0)))</x:f>
      </x:c>
      <x:c r="S109" s="163" t="str">
        <x:f>IF(COUNTA(A109:B109,D109:G109,I109,K109,M109,Q109,AB109:AD109)=0,"",IF(OR(A109="",COUNTIFS($A$5:$A$204,A109)&lt;&gt;1),"Lote ausente ou duplicado",IF(OR(B109="",COUNTIFS(Produtos!$A$5:$A$204,B109)&lt;&gt;1),"SKU ausente ou desconhecido",IF(COUNTIFS(Produtos!$A$5:$A$204,B109,Produtos!$R$5:$R$204,1)&gt;0,"Revisar cadastro do produto",IF(OR(NOT(ISNUMBER(E109)),E109&lt;=0,NOT(ISNUMBER(G109)),G109&lt;=0,G109&lt;E109),"Recebimento ou validade inválida",IF(AND(F109&lt;&gt;"",OR(NOT(ISNUMBER(F109)),F109&lt;=0,F109&gt;E109)),"Fabricação inválida ou posterior ao recebimento",IF(OR(NOT(ISNUMBER(K109)),K109&lt;0,NOT(ISNUMBER(I109)),I109&lt;0),"Quantidade recebida ou custo inválido",IF(AND(M109&lt;&gt;"Liberado",M109&lt;&gt;"Quarentena",M109&lt;&gt;"Bloqueado",M109&lt;&gt;"Esgotado"),"Status de lote inválido",""))))))))</x:f>
      </x:c>
      <x:c r="T109" s="163" t="n">
        <x:f>IF(A109="",0,COUNTIFS(Movimentacoes!$D$5:$D$304,A109,Movimentacoes!$P$5:$P$304,1))</x:f>
        <x:v>0</x:v>
      </x:c>
      <x:c r="U109" s="163" t="n">
        <x:f>IF(COUNTA(A109:B109,D109:G109,I109,K109,M109,Q109,AB109:AD109)=0,0,IF(OR(S109&lt;&gt;"",T109&gt;0),1,IF(ISNUMBER(J109),IF(OR(J109&lt;0,AND(J109&gt;0,M109="Esgotado")),1,0),0)))</x:f>
        <x:v>0</x:v>
      </x:c>
      <x:c r="V109" s="163" t="str">
        <x:f>IF(A109="","",IF(OR(U109&gt;0,Listas!$B$13&lt;&gt;"OK"),"n.a.",IF(AND(J109&gt;0,M109="Liberado",G109&gt;=Listas!$B$6),J109,0)))</x:f>
      </x:c>
      <x:c r="W109" s="163" t="str">
        <x:f>IF(A109="","",IF(OR(U109&gt;0,Listas!$B$13&lt;&gt;"OK"),"n.a.",V109*K109))</x:f>
      </x:c>
      <x:c r="X109" s="167" t="n">
        <x:f>IF(COUNTA(A109:B109,D109:G109,I109,K109,M109,Q109,AB109:AD109)=0,0,IF(OR(Listas!$B$19="Todos",B109=Listas!$B$19,COUNTIFS(Produtos!$A$5:$A$204,B109)&lt;&gt;1),1,0))</x:f>
        <x:v>0</x:v>
      </x:c>
      <x:c r="Y109" s="167" t="str">
        <x:f>IF(X109=0,"",IF(Listas!$B$13&lt;&gt;"OK","Revisar parâmetros",IF(U109&gt;0,IF(S109&lt;&gt;"",S109,IF(T109&gt;0,"Revisar movimentos",IF(AND(ISNUMBER(J109),J109&lt;0),"Saldo negativo","Status esgotado com saldo"))),IF(AG109&lt;&gt;"",AG109&amp;". ","")&amp;IF(J109&lt;=0,"",IF(N109="VENCIDO","Validade vencida. ","")&amp;IF(M109="Quarentena","Em quarentena. ","")&amp;IF(M109="Bloqueado","Lote bloqueado. ","")&amp;IF(N109="CRÍTICO","Validade crítica. ","")&amp;IF(N109="VENCE NA JANELA","Vence na janela. ","")))))</x:f>
      </x:c>
      <x:c r="Z109" s="167" t="n">
        <x:f>IF(OR(X109=0,Y109=""),0,IF(OR(Listas!$B$13&lt;&gt;"OK",U109&gt;0,AH109&gt;0),1,IF(N109="VENCIDO",2,IF(OR(M109="Quarentena",M109="Bloqueado"),3,IF(N109="CRÍTICO",4,5)))))</x:f>
        <x:v>0</x:v>
      </x:c>
      <x:c r="AA109" s="167" t="n">
        <x:f>IF(Z109=0,0,COUNTIFS($Z$5:$Z$204,"&gt;0",$Z$5:$Z$204,"&lt;"&amp;Z109,$X$5:$X$204,1)+COUNTIFS($Z$5:Z109,Z109,$X$5:X109,1))</x:f>
        <x:v>0</x:v>
      </x:c>
      <x:c r="AB109" s="168"/>
      <x:c r="AC109" s="168"/>
      <x:c r="AD109" s="169"/>
      <x:c r="AE109" s="167" t="str">
        <x:f>IF(X109=0,"",IF(OR(U109&gt;0,Listas!$B$13&lt;&gt;"OK"),"Dados pendentes",IF(J109&lt;=0,"Sem saldo",IF(N109="VENCIDO","Vencidos",IF(OR(M109="Quarentena",M109="Bloqueado"),"Restritos vigentes",IF(OR(N109="CRÍTICO",N109="VENCE NA JANELA"),"Liberados na janela","Demais liberados"))))))</x:f>
      </x:c>
      <x:c r="AF109" s="167" t="str">
        <x:f>IF(A109&lt;&gt;"",A109,IF(U109&gt;0,"Sem ID (linha "&amp;ROW()&amp;")",""))</x:f>
      </x:c>
      <x:c r="AG109" s="167" t="str">
        <x:f>IF(AD109="","",IF(OR(NOT(ISNUMBER(AD109)),AD109&lt;=0),"Prazo da ação inválido",""))</x:f>
      </x:c>
      <x:c r="AH109" s="167" t="n">
        <x:f>IF(AG109="",0,1)</x:f>
        <x:v>0</x:v>
      </x:c>
    </x:row>
    <x:row r="110" ht="32" customHeight="1">
      <x:c r="A110" s="27"/>
      <x:c r="B110" s="27"/>
      <x:c r="C110" s="40" t="str">
        <x:f>IF($B110="","",IFERROR(INDEX(Produtos!$B$5:$B$204,MATCH($B110,Produtos!$A$5:$A$204,0)),""))</x:f>
      </x:c>
      <x:c r="D110" s="170"/>
      <x:c r="E110" s="179"/>
      <x:c r="F110" s="179"/>
      <x:c r="G110" s="179"/>
      <x:c r="H110" s="40" t="str">
        <x:f>IF(A110="","",IF(OR(S110&lt;&gt;"",Listas!$B$13&lt;&gt;"OK"),"n.a.",G110-Listas!$B$6))</x:f>
      </x:c>
      <x:c r="I110" s="40"/>
      <x:c r="J110" s="40" t="str">
        <x:f>IF(A110="","",IF(OR(S110&lt;&gt;"",T110&gt;0,Listas!$B$13&lt;&gt;"OK"),"n.a.",SUMIFS(Movimentacoes!$H$5:$H$304,Movimentacoes!$D$5:$D$304,A110,Movimentacoes!$B$5:$B$304,"&lt;="&amp;Listas!$B$6)))</x:f>
      </x:c>
      <x:c r="K110" s="180"/>
      <x:c r="L110" s="181" t="str">
        <x:f>IF(A110="","",IF(OR(U110&gt;0,Listas!$B$13&lt;&gt;"OK"),"n.a.",J110*K110))</x:f>
      </x:c>
      <x:c r="M110" s="27"/>
      <x:c r="N110" s="40" t="str">
        <x:f>IF(A110="","",IF(OR(U110&gt;0,Listas!$B$13&lt;&gt;"OK"),"REVISAR DADOS",IF(J110=0,"SEM SALDO",IF(G110&lt;Listas!$B$6,"VENCIDO",IF(H110&lt;=Listas!$B$7,"CRÍTICO",IF(H110&lt;=Listas!$B$8,"VENCE NA JANELA","OK"))))))</x:f>
      </x:c>
      <x:c r="O110" s="41" t="str">
        <x:f>IF(A110="","",IF(AND(ISNUMBER(V110),V110&gt;0),G110,""))</x:f>
      </x:c>
      <x:c r="P110" s="40" t="str">
        <x:f>IF(A110="","",IF(OR(U110&gt;0,Listas!$B$13&lt;&gt;"OK"),"REVISAR DADOS",IF(J110=0,"ARQUIVAR LOTE",IF(M110="Quarentena","DECIDIR LIBERAÇÃO",IF(M110="Bloqueado","SEGREGAR E INVESTIGAR",IF(M110="Esgotado","REVISAR STATUS COM SALDO",IF(N110="VENCIDO","SEGREGAR E AVALIAR DESTINAÇÃO",IF(OR(N110="CRÍTICO",N110="VENCE NA JANELA"),"PRIORIZAR FEFO","MANTER ROTAÇÃO"))))))))</x:f>
      </x:c>
      <x:c r="Q110" s="27"/>
      <x:c r="R110" s="181" t="str">
        <x:f>IF(A110="","",IF(OR(U110&gt;0,Listas!$B$13&lt;&gt;"OK"),"n.a.",IF(OR(N110="VENCIDO",N110="CRÍTICO",N110="VENCE NA JANELA",M110="Quarentena",M110="Bloqueado"),L110,0)))</x:f>
      </x:c>
      <x:c r="S110" s="163" t="str">
        <x:f>IF(COUNTA(A110:B110,D110:G110,I110,K110,M110,Q110,AB110:AD110)=0,"",IF(OR(A110="",COUNTIFS($A$5:$A$204,A110)&lt;&gt;1),"Lote ausente ou duplicado",IF(OR(B110="",COUNTIFS(Produtos!$A$5:$A$204,B110)&lt;&gt;1),"SKU ausente ou desconhecido",IF(COUNTIFS(Produtos!$A$5:$A$204,B110,Produtos!$R$5:$R$204,1)&gt;0,"Revisar cadastro do produto",IF(OR(NOT(ISNUMBER(E110)),E110&lt;=0,NOT(ISNUMBER(G110)),G110&lt;=0,G110&lt;E110),"Recebimento ou validade inválida",IF(AND(F110&lt;&gt;"",OR(NOT(ISNUMBER(F110)),F110&lt;=0,F110&gt;E110)),"Fabricação inválida ou posterior ao recebimento",IF(OR(NOT(ISNUMBER(K110)),K110&lt;0,NOT(ISNUMBER(I110)),I110&lt;0),"Quantidade recebida ou custo inválido",IF(AND(M110&lt;&gt;"Liberado",M110&lt;&gt;"Quarentena",M110&lt;&gt;"Bloqueado",M110&lt;&gt;"Esgotado"),"Status de lote inválido",""))))))))</x:f>
      </x:c>
      <x:c r="T110" s="163" t="n">
        <x:f>IF(A110="",0,COUNTIFS(Movimentacoes!$D$5:$D$304,A110,Movimentacoes!$P$5:$P$304,1))</x:f>
        <x:v>0</x:v>
      </x:c>
      <x:c r="U110" s="163" t="n">
        <x:f>IF(COUNTA(A110:B110,D110:G110,I110,K110,M110,Q110,AB110:AD110)=0,0,IF(OR(S110&lt;&gt;"",T110&gt;0),1,IF(ISNUMBER(J110),IF(OR(J110&lt;0,AND(J110&gt;0,M110="Esgotado")),1,0),0)))</x:f>
        <x:v>0</x:v>
      </x:c>
      <x:c r="V110" s="163" t="str">
        <x:f>IF(A110="","",IF(OR(U110&gt;0,Listas!$B$13&lt;&gt;"OK"),"n.a.",IF(AND(J110&gt;0,M110="Liberado",G110&gt;=Listas!$B$6),J110,0)))</x:f>
      </x:c>
      <x:c r="W110" s="163" t="str">
        <x:f>IF(A110="","",IF(OR(U110&gt;0,Listas!$B$13&lt;&gt;"OK"),"n.a.",V110*K110))</x:f>
      </x:c>
      <x:c r="X110" s="167" t="n">
        <x:f>IF(COUNTA(A110:B110,D110:G110,I110,K110,M110,Q110,AB110:AD110)=0,0,IF(OR(Listas!$B$19="Todos",B110=Listas!$B$19,COUNTIFS(Produtos!$A$5:$A$204,B110)&lt;&gt;1),1,0))</x:f>
        <x:v>0</x:v>
      </x:c>
      <x:c r="Y110" s="167" t="str">
        <x:f>IF(X110=0,"",IF(Listas!$B$13&lt;&gt;"OK","Revisar parâmetros",IF(U110&gt;0,IF(S110&lt;&gt;"",S110,IF(T110&gt;0,"Revisar movimentos",IF(AND(ISNUMBER(J110),J110&lt;0),"Saldo negativo","Status esgotado com saldo"))),IF(AG110&lt;&gt;"",AG110&amp;". ","")&amp;IF(J110&lt;=0,"",IF(N110="VENCIDO","Validade vencida. ","")&amp;IF(M110="Quarentena","Em quarentena. ","")&amp;IF(M110="Bloqueado","Lote bloqueado. ","")&amp;IF(N110="CRÍTICO","Validade crítica. ","")&amp;IF(N110="VENCE NA JANELA","Vence na janela. ","")))))</x:f>
      </x:c>
      <x:c r="Z110" s="167" t="n">
        <x:f>IF(OR(X110=0,Y110=""),0,IF(OR(Listas!$B$13&lt;&gt;"OK",U110&gt;0,AH110&gt;0),1,IF(N110="VENCIDO",2,IF(OR(M110="Quarentena",M110="Bloqueado"),3,IF(N110="CRÍTICO",4,5)))))</x:f>
        <x:v>0</x:v>
      </x:c>
      <x:c r="AA110" s="167" t="n">
        <x:f>IF(Z110=0,0,COUNTIFS($Z$5:$Z$204,"&gt;0",$Z$5:$Z$204,"&lt;"&amp;Z110,$X$5:$X$204,1)+COUNTIFS($Z$5:Z110,Z110,$X$5:X110,1))</x:f>
        <x:v>0</x:v>
      </x:c>
      <x:c r="AB110" s="168"/>
      <x:c r="AC110" s="168"/>
      <x:c r="AD110" s="169"/>
      <x:c r="AE110" s="167" t="str">
        <x:f>IF(X110=0,"",IF(OR(U110&gt;0,Listas!$B$13&lt;&gt;"OK"),"Dados pendentes",IF(J110&lt;=0,"Sem saldo",IF(N110="VENCIDO","Vencidos",IF(OR(M110="Quarentena",M110="Bloqueado"),"Restritos vigentes",IF(OR(N110="CRÍTICO",N110="VENCE NA JANELA"),"Liberados na janela","Demais liberados"))))))</x:f>
      </x:c>
      <x:c r="AF110" s="167" t="str">
        <x:f>IF(A110&lt;&gt;"",A110,IF(U110&gt;0,"Sem ID (linha "&amp;ROW()&amp;")",""))</x:f>
      </x:c>
      <x:c r="AG110" s="167" t="str">
        <x:f>IF(AD110="","",IF(OR(NOT(ISNUMBER(AD110)),AD110&lt;=0),"Prazo da ação inválido",""))</x:f>
      </x:c>
      <x:c r="AH110" s="167" t="n">
        <x:f>IF(AG110="",0,1)</x:f>
        <x:v>0</x:v>
      </x:c>
    </x:row>
    <x:row r="111" ht="32" customHeight="1">
      <x:c r="A111" s="27"/>
      <x:c r="B111" s="27"/>
      <x:c r="C111" s="40" t="str">
        <x:f>IF($B111="","",IFERROR(INDEX(Produtos!$B$5:$B$204,MATCH($B111,Produtos!$A$5:$A$204,0)),""))</x:f>
      </x:c>
      <x:c r="D111" s="170"/>
      <x:c r="E111" s="179"/>
      <x:c r="F111" s="179"/>
      <x:c r="G111" s="179"/>
      <x:c r="H111" s="40" t="str">
        <x:f>IF(A111="","",IF(OR(S111&lt;&gt;"",Listas!$B$13&lt;&gt;"OK"),"n.a.",G111-Listas!$B$6))</x:f>
      </x:c>
      <x:c r="I111" s="40"/>
      <x:c r="J111" s="40" t="str">
        <x:f>IF(A111="","",IF(OR(S111&lt;&gt;"",T111&gt;0,Listas!$B$13&lt;&gt;"OK"),"n.a.",SUMIFS(Movimentacoes!$H$5:$H$304,Movimentacoes!$D$5:$D$304,A111,Movimentacoes!$B$5:$B$304,"&lt;="&amp;Listas!$B$6)))</x:f>
      </x:c>
      <x:c r="K111" s="180"/>
      <x:c r="L111" s="181" t="str">
        <x:f>IF(A111="","",IF(OR(U111&gt;0,Listas!$B$13&lt;&gt;"OK"),"n.a.",J111*K111))</x:f>
      </x:c>
      <x:c r="M111" s="27"/>
      <x:c r="N111" s="40" t="str">
        <x:f>IF(A111="","",IF(OR(U111&gt;0,Listas!$B$13&lt;&gt;"OK"),"REVISAR DADOS",IF(J111=0,"SEM SALDO",IF(G111&lt;Listas!$B$6,"VENCIDO",IF(H111&lt;=Listas!$B$7,"CRÍTICO",IF(H111&lt;=Listas!$B$8,"VENCE NA JANELA","OK"))))))</x:f>
      </x:c>
      <x:c r="O111" s="41" t="str">
        <x:f>IF(A111="","",IF(AND(ISNUMBER(V111),V111&gt;0),G111,""))</x:f>
      </x:c>
      <x:c r="P111" s="40" t="str">
        <x:f>IF(A111="","",IF(OR(U111&gt;0,Listas!$B$13&lt;&gt;"OK"),"REVISAR DADOS",IF(J111=0,"ARQUIVAR LOTE",IF(M111="Quarentena","DECIDIR LIBERAÇÃO",IF(M111="Bloqueado","SEGREGAR E INVESTIGAR",IF(M111="Esgotado","REVISAR STATUS COM SALDO",IF(N111="VENCIDO","SEGREGAR E AVALIAR DESTINAÇÃO",IF(OR(N111="CRÍTICO",N111="VENCE NA JANELA"),"PRIORIZAR FEFO","MANTER ROTAÇÃO"))))))))</x:f>
      </x:c>
      <x:c r="Q111" s="27"/>
      <x:c r="R111" s="181" t="str">
        <x:f>IF(A111="","",IF(OR(U111&gt;0,Listas!$B$13&lt;&gt;"OK"),"n.a.",IF(OR(N111="VENCIDO",N111="CRÍTICO",N111="VENCE NA JANELA",M111="Quarentena",M111="Bloqueado"),L111,0)))</x:f>
      </x:c>
      <x:c r="S111" s="163" t="str">
        <x:f>IF(COUNTA(A111:B111,D111:G111,I111,K111,M111,Q111,AB111:AD111)=0,"",IF(OR(A111="",COUNTIFS($A$5:$A$204,A111)&lt;&gt;1),"Lote ausente ou duplicado",IF(OR(B111="",COUNTIFS(Produtos!$A$5:$A$204,B111)&lt;&gt;1),"SKU ausente ou desconhecido",IF(COUNTIFS(Produtos!$A$5:$A$204,B111,Produtos!$R$5:$R$204,1)&gt;0,"Revisar cadastro do produto",IF(OR(NOT(ISNUMBER(E111)),E111&lt;=0,NOT(ISNUMBER(G111)),G111&lt;=0,G111&lt;E111),"Recebimento ou validade inválida",IF(AND(F111&lt;&gt;"",OR(NOT(ISNUMBER(F111)),F111&lt;=0,F111&gt;E111)),"Fabricação inválida ou posterior ao recebimento",IF(OR(NOT(ISNUMBER(K111)),K111&lt;0,NOT(ISNUMBER(I111)),I111&lt;0),"Quantidade recebida ou custo inválido",IF(AND(M111&lt;&gt;"Liberado",M111&lt;&gt;"Quarentena",M111&lt;&gt;"Bloqueado",M111&lt;&gt;"Esgotado"),"Status de lote inválido",""))))))))</x:f>
      </x:c>
      <x:c r="T111" s="163" t="n">
        <x:f>IF(A111="",0,COUNTIFS(Movimentacoes!$D$5:$D$304,A111,Movimentacoes!$P$5:$P$304,1))</x:f>
        <x:v>0</x:v>
      </x:c>
      <x:c r="U111" s="163" t="n">
        <x:f>IF(COUNTA(A111:B111,D111:G111,I111,K111,M111,Q111,AB111:AD111)=0,0,IF(OR(S111&lt;&gt;"",T111&gt;0),1,IF(ISNUMBER(J111),IF(OR(J111&lt;0,AND(J111&gt;0,M111="Esgotado")),1,0),0)))</x:f>
        <x:v>0</x:v>
      </x:c>
      <x:c r="V111" s="163" t="str">
        <x:f>IF(A111="","",IF(OR(U111&gt;0,Listas!$B$13&lt;&gt;"OK"),"n.a.",IF(AND(J111&gt;0,M111="Liberado",G111&gt;=Listas!$B$6),J111,0)))</x:f>
      </x:c>
      <x:c r="W111" s="163" t="str">
        <x:f>IF(A111="","",IF(OR(U111&gt;0,Listas!$B$13&lt;&gt;"OK"),"n.a.",V111*K111))</x:f>
      </x:c>
      <x:c r="X111" s="167" t="n">
        <x:f>IF(COUNTA(A111:B111,D111:G111,I111,K111,M111,Q111,AB111:AD111)=0,0,IF(OR(Listas!$B$19="Todos",B111=Listas!$B$19,COUNTIFS(Produtos!$A$5:$A$204,B111)&lt;&gt;1),1,0))</x:f>
        <x:v>0</x:v>
      </x:c>
      <x:c r="Y111" s="167" t="str">
        <x:f>IF(X111=0,"",IF(Listas!$B$13&lt;&gt;"OK","Revisar parâmetros",IF(U111&gt;0,IF(S111&lt;&gt;"",S111,IF(T111&gt;0,"Revisar movimentos",IF(AND(ISNUMBER(J111),J111&lt;0),"Saldo negativo","Status esgotado com saldo"))),IF(AG111&lt;&gt;"",AG111&amp;". ","")&amp;IF(J111&lt;=0,"",IF(N111="VENCIDO","Validade vencida. ","")&amp;IF(M111="Quarentena","Em quarentena. ","")&amp;IF(M111="Bloqueado","Lote bloqueado. ","")&amp;IF(N111="CRÍTICO","Validade crítica. ","")&amp;IF(N111="VENCE NA JANELA","Vence na janela. ","")))))</x:f>
      </x:c>
      <x:c r="Z111" s="167" t="n">
        <x:f>IF(OR(X111=0,Y111=""),0,IF(OR(Listas!$B$13&lt;&gt;"OK",U111&gt;0,AH111&gt;0),1,IF(N111="VENCIDO",2,IF(OR(M111="Quarentena",M111="Bloqueado"),3,IF(N111="CRÍTICO",4,5)))))</x:f>
        <x:v>0</x:v>
      </x:c>
      <x:c r="AA111" s="167" t="n">
        <x:f>IF(Z111=0,0,COUNTIFS($Z$5:$Z$204,"&gt;0",$Z$5:$Z$204,"&lt;"&amp;Z111,$X$5:$X$204,1)+COUNTIFS($Z$5:Z111,Z111,$X$5:X111,1))</x:f>
        <x:v>0</x:v>
      </x:c>
      <x:c r="AB111" s="168"/>
      <x:c r="AC111" s="168"/>
      <x:c r="AD111" s="169"/>
      <x:c r="AE111" s="167" t="str">
        <x:f>IF(X111=0,"",IF(OR(U111&gt;0,Listas!$B$13&lt;&gt;"OK"),"Dados pendentes",IF(J111&lt;=0,"Sem saldo",IF(N111="VENCIDO","Vencidos",IF(OR(M111="Quarentena",M111="Bloqueado"),"Restritos vigentes",IF(OR(N111="CRÍTICO",N111="VENCE NA JANELA"),"Liberados na janela","Demais liberados"))))))</x:f>
      </x:c>
      <x:c r="AF111" s="167" t="str">
        <x:f>IF(A111&lt;&gt;"",A111,IF(U111&gt;0,"Sem ID (linha "&amp;ROW()&amp;")",""))</x:f>
      </x:c>
      <x:c r="AG111" s="167" t="str">
        <x:f>IF(AD111="","",IF(OR(NOT(ISNUMBER(AD111)),AD111&lt;=0),"Prazo da ação inválido",""))</x:f>
      </x:c>
      <x:c r="AH111" s="167" t="n">
        <x:f>IF(AG111="",0,1)</x:f>
        <x:v>0</x:v>
      </x:c>
    </x:row>
    <x:row r="112" ht="32" customHeight="1">
      <x:c r="A112" s="27"/>
      <x:c r="B112" s="27"/>
      <x:c r="C112" s="40" t="str">
        <x:f>IF($B112="","",IFERROR(INDEX(Produtos!$B$5:$B$204,MATCH($B112,Produtos!$A$5:$A$204,0)),""))</x:f>
      </x:c>
      <x:c r="D112" s="170"/>
      <x:c r="E112" s="179"/>
      <x:c r="F112" s="179"/>
      <x:c r="G112" s="179"/>
      <x:c r="H112" s="40" t="str">
        <x:f>IF(A112="","",IF(OR(S112&lt;&gt;"",Listas!$B$13&lt;&gt;"OK"),"n.a.",G112-Listas!$B$6))</x:f>
      </x:c>
      <x:c r="I112" s="40"/>
      <x:c r="J112" s="40" t="str">
        <x:f>IF(A112="","",IF(OR(S112&lt;&gt;"",T112&gt;0,Listas!$B$13&lt;&gt;"OK"),"n.a.",SUMIFS(Movimentacoes!$H$5:$H$304,Movimentacoes!$D$5:$D$304,A112,Movimentacoes!$B$5:$B$304,"&lt;="&amp;Listas!$B$6)))</x:f>
      </x:c>
      <x:c r="K112" s="180"/>
      <x:c r="L112" s="181" t="str">
        <x:f>IF(A112="","",IF(OR(U112&gt;0,Listas!$B$13&lt;&gt;"OK"),"n.a.",J112*K112))</x:f>
      </x:c>
      <x:c r="M112" s="27"/>
      <x:c r="N112" s="40" t="str">
        <x:f>IF(A112="","",IF(OR(U112&gt;0,Listas!$B$13&lt;&gt;"OK"),"REVISAR DADOS",IF(J112=0,"SEM SALDO",IF(G112&lt;Listas!$B$6,"VENCIDO",IF(H112&lt;=Listas!$B$7,"CRÍTICO",IF(H112&lt;=Listas!$B$8,"VENCE NA JANELA","OK"))))))</x:f>
      </x:c>
      <x:c r="O112" s="41" t="str">
        <x:f>IF(A112="","",IF(AND(ISNUMBER(V112),V112&gt;0),G112,""))</x:f>
      </x:c>
      <x:c r="P112" s="40" t="str">
        <x:f>IF(A112="","",IF(OR(U112&gt;0,Listas!$B$13&lt;&gt;"OK"),"REVISAR DADOS",IF(J112=0,"ARQUIVAR LOTE",IF(M112="Quarentena","DECIDIR LIBERAÇÃO",IF(M112="Bloqueado","SEGREGAR E INVESTIGAR",IF(M112="Esgotado","REVISAR STATUS COM SALDO",IF(N112="VENCIDO","SEGREGAR E AVALIAR DESTINAÇÃO",IF(OR(N112="CRÍTICO",N112="VENCE NA JANELA"),"PRIORIZAR FEFO","MANTER ROTAÇÃO"))))))))</x:f>
      </x:c>
      <x:c r="Q112" s="27"/>
      <x:c r="R112" s="181" t="str">
        <x:f>IF(A112="","",IF(OR(U112&gt;0,Listas!$B$13&lt;&gt;"OK"),"n.a.",IF(OR(N112="VENCIDO",N112="CRÍTICO",N112="VENCE NA JANELA",M112="Quarentena",M112="Bloqueado"),L112,0)))</x:f>
      </x:c>
      <x:c r="S112" s="163" t="str">
        <x:f>IF(COUNTA(A112:B112,D112:G112,I112,K112,M112,Q112,AB112:AD112)=0,"",IF(OR(A112="",COUNTIFS($A$5:$A$204,A112)&lt;&gt;1),"Lote ausente ou duplicado",IF(OR(B112="",COUNTIFS(Produtos!$A$5:$A$204,B112)&lt;&gt;1),"SKU ausente ou desconhecido",IF(COUNTIFS(Produtos!$A$5:$A$204,B112,Produtos!$R$5:$R$204,1)&gt;0,"Revisar cadastro do produto",IF(OR(NOT(ISNUMBER(E112)),E112&lt;=0,NOT(ISNUMBER(G112)),G112&lt;=0,G112&lt;E112),"Recebimento ou validade inválida",IF(AND(F112&lt;&gt;"",OR(NOT(ISNUMBER(F112)),F112&lt;=0,F112&gt;E112)),"Fabricação inválida ou posterior ao recebimento",IF(OR(NOT(ISNUMBER(K112)),K112&lt;0,NOT(ISNUMBER(I112)),I112&lt;0),"Quantidade recebida ou custo inválido",IF(AND(M112&lt;&gt;"Liberado",M112&lt;&gt;"Quarentena",M112&lt;&gt;"Bloqueado",M112&lt;&gt;"Esgotado"),"Status de lote inválido",""))))))))</x:f>
      </x:c>
      <x:c r="T112" s="163" t="n">
        <x:f>IF(A112="",0,COUNTIFS(Movimentacoes!$D$5:$D$304,A112,Movimentacoes!$P$5:$P$304,1))</x:f>
        <x:v>0</x:v>
      </x:c>
      <x:c r="U112" s="163" t="n">
        <x:f>IF(COUNTA(A112:B112,D112:G112,I112,K112,M112,Q112,AB112:AD112)=0,0,IF(OR(S112&lt;&gt;"",T112&gt;0),1,IF(ISNUMBER(J112),IF(OR(J112&lt;0,AND(J112&gt;0,M112="Esgotado")),1,0),0)))</x:f>
        <x:v>0</x:v>
      </x:c>
      <x:c r="V112" s="163" t="str">
        <x:f>IF(A112="","",IF(OR(U112&gt;0,Listas!$B$13&lt;&gt;"OK"),"n.a.",IF(AND(J112&gt;0,M112="Liberado",G112&gt;=Listas!$B$6),J112,0)))</x:f>
      </x:c>
      <x:c r="W112" s="163" t="str">
        <x:f>IF(A112="","",IF(OR(U112&gt;0,Listas!$B$13&lt;&gt;"OK"),"n.a.",V112*K112))</x:f>
      </x:c>
      <x:c r="X112" s="167" t="n">
        <x:f>IF(COUNTA(A112:B112,D112:G112,I112,K112,M112,Q112,AB112:AD112)=0,0,IF(OR(Listas!$B$19="Todos",B112=Listas!$B$19,COUNTIFS(Produtos!$A$5:$A$204,B112)&lt;&gt;1),1,0))</x:f>
        <x:v>0</x:v>
      </x:c>
      <x:c r="Y112" s="167" t="str">
        <x:f>IF(X112=0,"",IF(Listas!$B$13&lt;&gt;"OK","Revisar parâmetros",IF(U112&gt;0,IF(S112&lt;&gt;"",S112,IF(T112&gt;0,"Revisar movimentos",IF(AND(ISNUMBER(J112),J112&lt;0),"Saldo negativo","Status esgotado com saldo"))),IF(AG112&lt;&gt;"",AG112&amp;". ","")&amp;IF(J112&lt;=0,"",IF(N112="VENCIDO","Validade vencida. ","")&amp;IF(M112="Quarentena","Em quarentena. ","")&amp;IF(M112="Bloqueado","Lote bloqueado. ","")&amp;IF(N112="CRÍTICO","Validade crítica. ","")&amp;IF(N112="VENCE NA JANELA","Vence na janela. ","")))))</x:f>
      </x:c>
      <x:c r="Z112" s="167" t="n">
        <x:f>IF(OR(X112=0,Y112=""),0,IF(OR(Listas!$B$13&lt;&gt;"OK",U112&gt;0,AH112&gt;0),1,IF(N112="VENCIDO",2,IF(OR(M112="Quarentena",M112="Bloqueado"),3,IF(N112="CRÍTICO",4,5)))))</x:f>
        <x:v>0</x:v>
      </x:c>
      <x:c r="AA112" s="167" t="n">
        <x:f>IF(Z112=0,0,COUNTIFS($Z$5:$Z$204,"&gt;0",$Z$5:$Z$204,"&lt;"&amp;Z112,$X$5:$X$204,1)+COUNTIFS($Z$5:Z112,Z112,$X$5:X112,1))</x:f>
        <x:v>0</x:v>
      </x:c>
      <x:c r="AB112" s="168"/>
      <x:c r="AC112" s="168"/>
      <x:c r="AD112" s="169"/>
      <x:c r="AE112" s="167" t="str">
        <x:f>IF(X112=0,"",IF(OR(U112&gt;0,Listas!$B$13&lt;&gt;"OK"),"Dados pendentes",IF(J112&lt;=0,"Sem saldo",IF(N112="VENCIDO","Vencidos",IF(OR(M112="Quarentena",M112="Bloqueado"),"Restritos vigentes",IF(OR(N112="CRÍTICO",N112="VENCE NA JANELA"),"Liberados na janela","Demais liberados"))))))</x:f>
      </x:c>
      <x:c r="AF112" s="167" t="str">
        <x:f>IF(A112&lt;&gt;"",A112,IF(U112&gt;0,"Sem ID (linha "&amp;ROW()&amp;")",""))</x:f>
      </x:c>
      <x:c r="AG112" s="167" t="str">
        <x:f>IF(AD112="","",IF(OR(NOT(ISNUMBER(AD112)),AD112&lt;=0),"Prazo da ação inválido",""))</x:f>
      </x:c>
      <x:c r="AH112" s="167" t="n">
        <x:f>IF(AG112="",0,1)</x:f>
        <x:v>0</x:v>
      </x:c>
    </x:row>
    <x:row r="113" ht="32" customHeight="1">
      <x:c r="A113" s="27"/>
      <x:c r="B113" s="27"/>
      <x:c r="C113" s="40" t="str">
        <x:f>IF($B113="","",IFERROR(INDEX(Produtos!$B$5:$B$204,MATCH($B113,Produtos!$A$5:$A$204,0)),""))</x:f>
      </x:c>
      <x:c r="D113" s="170"/>
      <x:c r="E113" s="179"/>
      <x:c r="F113" s="179"/>
      <x:c r="G113" s="179"/>
      <x:c r="H113" s="40" t="str">
        <x:f>IF(A113="","",IF(OR(S113&lt;&gt;"",Listas!$B$13&lt;&gt;"OK"),"n.a.",G113-Listas!$B$6))</x:f>
      </x:c>
      <x:c r="I113" s="40"/>
      <x:c r="J113" s="40" t="str">
        <x:f>IF(A113="","",IF(OR(S113&lt;&gt;"",T113&gt;0,Listas!$B$13&lt;&gt;"OK"),"n.a.",SUMIFS(Movimentacoes!$H$5:$H$304,Movimentacoes!$D$5:$D$304,A113,Movimentacoes!$B$5:$B$304,"&lt;="&amp;Listas!$B$6)))</x:f>
      </x:c>
      <x:c r="K113" s="180"/>
      <x:c r="L113" s="181" t="str">
        <x:f>IF(A113="","",IF(OR(U113&gt;0,Listas!$B$13&lt;&gt;"OK"),"n.a.",J113*K113))</x:f>
      </x:c>
      <x:c r="M113" s="27"/>
      <x:c r="N113" s="40" t="str">
        <x:f>IF(A113="","",IF(OR(U113&gt;0,Listas!$B$13&lt;&gt;"OK"),"REVISAR DADOS",IF(J113=0,"SEM SALDO",IF(G113&lt;Listas!$B$6,"VENCIDO",IF(H113&lt;=Listas!$B$7,"CRÍTICO",IF(H113&lt;=Listas!$B$8,"VENCE NA JANELA","OK"))))))</x:f>
      </x:c>
      <x:c r="O113" s="41" t="str">
        <x:f>IF(A113="","",IF(AND(ISNUMBER(V113),V113&gt;0),G113,""))</x:f>
      </x:c>
      <x:c r="P113" s="40" t="str">
        <x:f>IF(A113="","",IF(OR(U113&gt;0,Listas!$B$13&lt;&gt;"OK"),"REVISAR DADOS",IF(J113=0,"ARQUIVAR LOTE",IF(M113="Quarentena","DECIDIR LIBERAÇÃO",IF(M113="Bloqueado","SEGREGAR E INVESTIGAR",IF(M113="Esgotado","REVISAR STATUS COM SALDO",IF(N113="VENCIDO","SEGREGAR E AVALIAR DESTINAÇÃO",IF(OR(N113="CRÍTICO",N113="VENCE NA JANELA"),"PRIORIZAR FEFO","MANTER ROTAÇÃO"))))))))</x:f>
      </x:c>
      <x:c r="Q113" s="27"/>
      <x:c r="R113" s="181" t="str">
        <x:f>IF(A113="","",IF(OR(U113&gt;0,Listas!$B$13&lt;&gt;"OK"),"n.a.",IF(OR(N113="VENCIDO",N113="CRÍTICO",N113="VENCE NA JANELA",M113="Quarentena",M113="Bloqueado"),L113,0)))</x:f>
      </x:c>
      <x:c r="S113" s="163" t="str">
        <x:f>IF(COUNTA(A113:B113,D113:G113,I113,K113,M113,Q113,AB113:AD113)=0,"",IF(OR(A113="",COUNTIFS($A$5:$A$204,A113)&lt;&gt;1),"Lote ausente ou duplicado",IF(OR(B113="",COUNTIFS(Produtos!$A$5:$A$204,B113)&lt;&gt;1),"SKU ausente ou desconhecido",IF(COUNTIFS(Produtos!$A$5:$A$204,B113,Produtos!$R$5:$R$204,1)&gt;0,"Revisar cadastro do produto",IF(OR(NOT(ISNUMBER(E113)),E113&lt;=0,NOT(ISNUMBER(G113)),G113&lt;=0,G113&lt;E113),"Recebimento ou validade inválida",IF(AND(F113&lt;&gt;"",OR(NOT(ISNUMBER(F113)),F113&lt;=0,F113&gt;E113)),"Fabricação inválida ou posterior ao recebimento",IF(OR(NOT(ISNUMBER(K113)),K113&lt;0,NOT(ISNUMBER(I113)),I113&lt;0),"Quantidade recebida ou custo inválido",IF(AND(M113&lt;&gt;"Liberado",M113&lt;&gt;"Quarentena",M113&lt;&gt;"Bloqueado",M113&lt;&gt;"Esgotado"),"Status de lote inválido",""))))))))</x:f>
      </x:c>
      <x:c r="T113" s="163" t="n">
        <x:f>IF(A113="",0,COUNTIFS(Movimentacoes!$D$5:$D$304,A113,Movimentacoes!$P$5:$P$304,1))</x:f>
        <x:v>0</x:v>
      </x:c>
      <x:c r="U113" s="163" t="n">
        <x:f>IF(COUNTA(A113:B113,D113:G113,I113,K113,M113,Q113,AB113:AD113)=0,0,IF(OR(S113&lt;&gt;"",T113&gt;0),1,IF(ISNUMBER(J113),IF(OR(J113&lt;0,AND(J113&gt;0,M113="Esgotado")),1,0),0)))</x:f>
        <x:v>0</x:v>
      </x:c>
      <x:c r="V113" s="163" t="str">
        <x:f>IF(A113="","",IF(OR(U113&gt;0,Listas!$B$13&lt;&gt;"OK"),"n.a.",IF(AND(J113&gt;0,M113="Liberado",G113&gt;=Listas!$B$6),J113,0)))</x:f>
      </x:c>
      <x:c r="W113" s="163" t="str">
        <x:f>IF(A113="","",IF(OR(U113&gt;0,Listas!$B$13&lt;&gt;"OK"),"n.a.",V113*K113))</x:f>
      </x:c>
      <x:c r="X113" s="167" t="n">
        <x:f>IF(COUNTA(A113:B113,D113:G113,I113,K113,M113,Q113,AB113:AD113)=0,0,IF(OR(Listas!$B$19="Todos",B113=Listas!$B$19,COUNTIFS(Produtos!$A$5:$A$204,B113)&lt;&gt;1),1,0))</x:f>
        <x:v>0</x:v>
      </x:c>
      <x:c r="Y113" s="167" t="str">
        <x:f>IF(X113=0,"",IF(Listas!$B$13&lt;&gt;"OK","Revisar parâmetros",IF(U113&gt;0,IF(S113&lt;&gt;"",S113,IF(T113&gt;0,"Revisar movimentos",IF(AND(ISNUMBER(J113),J113&lt;0),"Saldo negativo","Status esgotado com saldo"))),IF(AG113&lt;&gt;"",AG113&amp;". ","")&amp;IF(J113&lt;=0,"",IF(N113="VENCIDO","Validade vencida. ","")&amp;IF(M113="Quarentena","Em quarentena. ","")&amp;IF(M113="Bloqueado","Lote bloqueado. ","")&amp;IF(N113="CRÍTICO","Validade crítica. ","")&amp;IF(N113="VENCE NA JANELA","Vence na janela. ","")))))</x:f>
      </x:c>
      <x:c r="Z113" s="167" t="n">
        <x:f>IF(OR(X113=0,Y113=""),0,IF(OR(Listas!$B$13&lt;&gt;"OK",U113&gt;0,AH113&gt;0),1,IF(N113="VENCIDO",2,IF(OR(M113="Quarentena",M113="Bloqueado"),3,IF(N113="CRÍTICO",4,5)))))</x:f>
        <x:v>0</x:v>
      </x:c>
      <x:c r="AA113" s="167" t="n">
        <x:f>IF(Z113=0,0,COUNTIFS($Z$5:$Z$204,"&gt;0",$Z$5:$Z$204,"&lt;"&amp;Z113,$X$5:$X$204,1)+COUNTIFS($Z$5:Z113,Z113,$X$5:X113,1))</x:f>
        <x:v>0</x:v>
      </x:c>
      <x:c r="AB113" s="168"/>
      <x:c r="AC113" s="168"/>
      <x:c r="AD113" s="169"/>
      <x:c r="AE113" s="167" t="str">
        <x:f>IF(X113=0,"",IF(OR(U113&gt;0,Listas!$B$13&lt;&gt;"OK"),"Dados pendentes",IF(J113&lt;=0,"Sem saldo",IF(N113="VENCIDO","Vencidos",IF(OR(M113="Quarentena",M113="Bloqueado"),"Restritos vigentes",IF(OR(N113="CRÍTICO",N113="VENCE NA JANELA"),"Liberados na janela","Demais liberados"))))))</x:f>
      </x:c>
      <x:c r="AF113" s="167" t="str">
        <x:f>IF(A113&lt;&gt;"",A113,IF(U113&gt;0,"Sem ID (linha "&amp;ROW()&amp;")",""))</x:f>
      </x:c>
      <x:c r="AG113" s="167" t="str">
        <x:f>IF(AD113="","",IF(OR(NOT(ISNUMBER(AD113)),AD113&lt;=0),"Prazo da ação inválido",""))</x:f>
      </x:c>
      <x:c r="AH113" s="167" t="n">
        <x:f>IF(AG113="",0,1)</x:f>
        <x:v>0</x:v>
      </x:c>
    </x:row>
    <x:row r="114" ht="32" customHeight="1">
      <x:c r="A114" s="27"/>
      <x:c r="B114" s="27"/>
      <x:c r="C114" s="40" t="str">
        <x:f>IF($B114="","",IFERROR(INDEX(Produtos!$B$5:$B$204,MATCH($B114,Produtos!$A$5:$A$204,0)),""))</x:f>
      </x:c>
      <x:c r="D114" s="170"/>
      <x:c r="E114" s="179"/>
      <x:c r="F114" s="179"/>
      <x:c r="G114" s="179"/>
      <x:c r="H114" s="40" t="str">
        <x:f>IF(A114="","",IF(OR(S114&lt;&gt;"",Listas!$B$13&lt;&gt;"OK"),"n.a.",G114-Listas!$B$6))</x:f>
      </x:c>
      <x:c r="I114" s="40"/>
      <x:c r="J114" s="40" t="str">
        <x:f>IF(A114="","",IF(OR(S114&lt;&gt;"",T114&gt;0,Listas!$B$13&lt;&gt;"OK"),"n.a.",SUMIFS(Movimentacoes!$H$5:$H$304,Movimentacoes!$D$5:$D$304,A114,Movimentacoes!$B$5:$B$304,"&lt;="&amp;Listas!$B$6)))</x:f>
      </x:c>
      <x:c r="K114" s="180"/>
      <x:c r="L114" s="181" t="str">
        <x:f>IF(A114="","",IF(OR(U114&gt;0,Listas!$B$13&lt;&gt;"OK"),"n.a.",J114*K114))</x:f>
      </x:c>
      <x:c r="M114" s="27"/>
      <x:c r="N114" s="40" t="str">
        <x:f>IF(A114="","",IF(OR(U114&gt;0,Listas!$B$13&lt;&gt;"OK"),"REVISAR DADOS",IF(J114=0,"SEM SALDO",IF(G114&lt;Listas!$B$6,"VENCIDO",IF(H114&lt;=Listas!$B$7,"CRÍTICO",IF(H114&lt;=Listas!$B$8,"VENCE NA JANELA","OK"))))))</x:f>
      </x:c>
      <x:c r="O114" s="41" t="str">
        <x:f>IF(A114="","",IF(AND(ISNUMBER(V114),V114&gt;0),G114,""))</x:f>
      </x:c>
      <x:c r="P114" s="40" t="str">
        <x:f>IF(A114="","",IF(OR(U114&gt;0,Listas!$B$13&lt;&gt;"OK"),"REVISAR DADOS",IF(J114=0,"ARQUIVAR LOTE",IF(M114="Quarentena","DECIDIR LIBERAÇÃO",IF(M114="Bloqueado","SEGREGAR E INVESTIGAR",IF(M114="Esgotado","REVISAR STATUS COM SALDO",IF(N114="VENCIDO","SEGREGAR E AVALIAR DESTINAÇÃO",IF(OR(N114="CRÍTICO",N114="VENCE NA JANELA"),"PRIORIZAR FEFO","MANTER ROTAÇÃO"))))))))</x:f>
      </x:c>
      <x:c r="Q114" s="27"/>
      <x:c r="R114" s="181" t="str">
        <x:f>IF(A114="","",IF(OR(U114&gt;0,Listas!$B$13&lt;&gt;"OK"),"n.a.",IF(OR(N114="VENCIDO",N114="CRÍTICO",N114="VENCE NA JANELA",M114="Quarentena",M114="Bloqueado"),L114,0)))</x:f>
      </x:c>
      <x:c r="S114" s="163" t="str">
        <x:f>IF(COUNTA(A114:B114,D114:G114,I114,K114,M114,Q114,AB114:AD114)=0,"",IF(OR(A114="",COUNTIFS($A$5:$A$204,A114)&lt;&gt;1),"Lote ausente ou duplicado",IF(OR(B114="",COUNTIFS(Produtos!$A$5:$A$204,B114)&lt;&gt;1),"SKU ausente ou desconhecido",IF(COUNTIFS(Produtos!$A$5:$A$204,B114,Produtos!$R$5:$R$204,1)&gt;0,"Revisar cadastro do produto",IF(OR(NOT(ISNUMBER(E114)),E114&lt;=0,NOT(ISNUMBER(G114)),G114&lt;=0,G114&lt;E114),"Recebimento ou validade inválida",IF(AND(F114&lt;&gt;"",OR(NOT(ISNUMBER(F114)),F114&lt;=0,F114&gt;E114)),"Fabricação inválida ou posterior ao recebimento",IF(OR(NOT(ISNUMBER(K114)),K114&lt;0,NOT(ISNUMBER(I114)),I114&lt;0),"Quantidade recebida ou custo inválido",IF(AND(M114&lt;&gt;"Liberado",M114&lt;&gt;"Quarentena",M114&lt;&gt;"Bloqueado",M114&lt;&gt;"Esgotado"),"Status de lote inválido",""))))))))</x:f>
      </x:c>
      <x:c r="T114" s="163" t="n">
        <x:f>IF(A114="",0,COUNTIFS(Movimentacoes!$D$5:$D$304,A114,Movimentacoes!$P$5:$P$304,1))</x:f>
        <x:v>0</x:v>
      </x:c>
      <x:c r="U114" s="163" t="n">
        <x:f>IF(COUNTA(A114:B114,D114:G114,I114,K114,M114,Q114,AB114:AD114)=0,0,IF(OR(S114&lt;&gt;"",T114&gt;0),1,IF(ISNUMBER(J114),IF(OR(J114&lt;0,AND(J114&gt;0,M114="Esgotado")),1,0),0)))</x:f>
        <x:v>0</x:v>
      </x:c>
      <x:c r="V114" s="163" t="str">
        <x:f>IF(A114="","",IF(OR(U114&gt;0,Listas!$B$13&lt;&gt;"OK"),"n.a.",IF(AND(J114&gt;0,M114="Liberado",G114&gt;=Listas!$B$6),J114,0)))</x:f>
      </x:c>
      <x:c r="W114" s="163" t="str">
        <x:f>IF(A114="","",IF(OR(U114&gt;0,Listas!$B$13&lt;&gt;"OK"),"n.a.",V114*K114))</x:f>
      </x:c>
      <x:c r="X114" s="167" t="n">
        <x:f>IF(COUNTA(A114:B114,D114:G114,I114,K114,M114,Q114,AB114:AD114)=0,0,IF(OR(Listas!$B$19="Todos",B114=Listas!$B$19,COUNTIFS(Produtos!$A$5:$A$204,B114)&lt;&gt;1),1,0))</x:f>
        <x:v>0</x:v>
      </x:c>
      <x:c r="Y114" s="167" t="str">
        <x:f>IF(X114=0,"",IF(Listas!$B$13&lt;&gt;"OK","Revisar parâmetros",IF(U114&gt;0,IF(S114&lt;&gt;"",S114,IF(T114&gt;0,"Revisar movimentos",IF(AND(ISNUMBER(J114),J114&lt;0),"Saldo negativo","Status esgotado com saldo"))),IF(AG114&lt;&gt;"",AG114&amp;". ","")&amp;IF(J114&lt;=0,"",IF(N114="VENCIDO","Validade vencida. ","")&amp;IF(M114="Quarentena","Em quarentena. ","")&amp;IF(M114="Bloqueado","Lote bloqueado. ","")&amp;IF(N114="CRÍTICO","Validade crítica. ","")&amp;IF(N114="VENCE NA JANELA","Vence na janela. ","")))))</x:f>
      </x:c>
      <x:c r="Z114" s="167" t="n">
        <x:f>IF(OR(X114=0,Y114=""),0,IF(OR(Listas!$B$13&lt;&gt;"OK",U114&gt;0,AH114&gt;0),1,IF(N114="VENCIDO",2,IF(OR(M114="Quarentena",M114="Bloqueado"),3,IF(N114="CRÍTICO",4,5)))))</x:f>
        <x:v>0</x:v>
      </x:c>
      <x:c r="AA114" s="167" t="n">
        <x:f>IF(Z114=0,0,COUNTIFS($Z$5:$Z$204,"&gt;0",$Z$5:$Z$204,"&lt;"&amp;Z114,$X$5:$X$204,1)+COUNTIFS($Z$5:Z114,Z114,$X$5:X114,1))</x:f>
        <x:v>0</x:v>
      </x:c>
      <x:c r="AB114" s="168"/>
      <x:c r="AC114" s="168"/>
      <x:c r="AD114" s="169"/>
      <x:c r="AE114" s="167" t="str">
        <x:f>IF(X114=0,"",IF(OR(U114&gt;0,Listas!$B$13&lt;&gt;"OK"),"Dados pendentes",IF(J114&lt;=0,"Sem saldo",IF(N114="VENCIDO","Vencidos",IF(OR(M114="Quarentena",M114="Bloqueado"),"Restritos vigentes",IF(OR(N114="CRÍTICO",N114="VENCE NA JANELA"),"Liberados na janela","Demais liberados"))))))</x:f>
      </x:c>
      <x:c r="AF114" s="167" t="str">
        <x:f>IF(A114&lt;&gt;"",A114,IF(U114&gt;0,"Sem ID (linha "&amp;ROW()&amp;")",""))</x:f>
      </x:c>
      <x:c r="AG114" s="167" t="str">
        <x:f>IF(AD114="","",IF(OR(NOT(ISNUMBER(AD114)),AD114&lt;=0),"Prazo da ação inválido",""))</x:f>
      </x:c>
      <x:c r="AH114" s="167" t="n">
        <x:f>IF(AG114="",0,1)</x:f>
        <x:v>0</x:v>
      </x:c>
    </x:row>
    <x:row r="115" ht="32" customHeight="1">
      <x:c r="A115" s="27"/>
      <x:c r="B115" s="27"/>
      <x:c r="C115" s="40" t="str">
        <x:f>IF($B115="","",IFERROR(INDEX(Produtos!$B$5:$B$204,MATCH($B115,Produtos!$A$5:$A$204,0)),""))</x:f>
      </x:c>
      <x:c r="D115" s="170"/>
      <x:c r="E115" s="179"/>
      <x:c r="F115" s="179"/>
      <x:c r="G115" s="179"/>
      <x:c r="H115" s="40" t="str">
        <x:f>IF(A115="","",IF(OR(S115&lt;&gt;"",Listas!$B$13&lt;&gt;"OK"),"n.a.",G115-Listas!$B$6))</x:f>
      </x:c>
      <x:c r="I115" s="40"/>
      <x:c r="J115" s="40" t="str">
        <x:f>IF(A115="","",IF(OR(S115&lt;&gt;"",T115&gt;0,Listas!$B$13&lt;&gt;"OK"),"n.a.",SUMIFS(Movimentacoes!$H$5:$H$304,Movimentacoes!$D$5:$D$304,A115,Movimentacoes!$B$5:$B$304,"&lt;="&amp;Listas!$B$6)))</x:f>
      </x:c>
      <x:c r="K115" s="180"/>
      <x:c r="L115" s="181" t="str">
        <x:f>IF(A115="","",IF(OR(U115&gt;0,Listas!$B$13&lt;&gt;"OK"),"n.a.",J115*K115))</x:f>
      </x:c>
      <x:c r="M115" s="27"/>
      <x:c r="N115" s="40" t="str">
        <x:f>IF(A115="","",IF(OR(U115&gt;0,Listas!$B$13&lt;&gt;"OK"),"REVISAR DADOS",IF(J115=0,"SEM SALDO",IF(G115&lt;Listas!$B$6,"VENCIDO",IF(H115&lt;=Listas!$B$7,"CRÍTICO",IF(H115&lt;=Listas!$B$8,"VENCE NA JANELA","OK"))))))</x:f>
      </x:c>
      <x:c r="O115" s="41" t="str">
        <x:f>IF(A115="","",IF(AND(ISNUMBER(V115),V115&gt;0),G115,""))</x:f>
      </x:c>
      <x:c r="P115" s="40" t="str">
        <x:f>IF(A115="","",IF(OR(U115&gt;0,Listas!$B$13&lt;&gt;"OK"),"REVISAR DADOS",IF(J115=0,"ARQUIVAR LOTE",IF(M115="Quarentena","DECIDIR LIBERAÇÃO",IF(M115="Bloqueado","SEGREGAR E INVESTIGAR",IF(M115="Esgotado","REVISAR STATUS COM SALDO",IF(N115="VENCIDO","SEGREGAR E AVALIAR DESTINAÇÃO",IF(OR(N115="CRÍTICO",N115="VENCE NA JANELA"),"PRIORIZAR FEFO","MANTER ROTAÇÃO"))))))))</x:f>
      </x:c>
      <x:c r="Q115" s="27"/>
      <x:c r="R115" s="181" t="str">
        <x:f>IF(A115="","",IF(OR(U115&gt;0,Listas!$B$13&lt;&gt;"OK"),"n.a.",IF(OR(N115="VENCIDO",N115="CRÍTICO",N115="VENCE NA JANELA",M115="Quarentena",M115="Bloqueado"),L115,0)))</x:f>
      </x:c>
      <x:c r="S115" s="163" t="str">
        <x:f>IF(COUNTA(A115:B115,D115:G115,I115,K115,M115,Q115,AB115:AD115)=0,"",IF(OR(A115="",COUNTIFS($A$5:$A$204,A115)&lt;&gt;1),"Lote ausente ou duplicado",IF(OR(B115="",COUNTIFS(Produtos!$A$5:$A$204,B115)&lt;&gt;1),"SKU ausente ou desconhecido",IF(COUNTIFS(Produtos!$A$5:$A$204,B115,Produtos!$R$5:$R$204,1)&gt;0,"Revisar cadastro do produto",IF(OR(NOT(ISNUMBER(E115)),E115&lt;=0,NOT(ISNUMBER(G115)),G115&lt;=0,G115&lt;E115),"Recebimento ou validade inválida",IF(AND(F115&lt;&gt;"",OR(NOT(ISNUMBER(F115)),F115&lt;=0,F115&gt;E115)),"Fabricação inválida ou posterior ao recebimento",IF(OR(NOT(ISNUMBER(K115)),K115&lt;0,NOT(ISNUMBER(I115)),I115&lt;0),"Quantidade recebida ou custo inválido",IF(AND(M115&lt;&gt;"Liberado",M115&lt;&gt;"Quarentena",M115&lt;&gt;"Bloqueado",M115&lt;&gt;"Esgotado"),"Status de lote inválido",""))))))))</x:f>
      </x:c>
      <x:c r="T115" s="163" t="n">
        <x:f>IF(A115="",0,COUNTIFS(Movimentacoes!$D$5:$D$304,A115,Movimentacoes!$P$5:$P$304,1))</x:f>
        <x:v>0</x:v>
      </x:c>
      <x:c r="U115" s="163" t="n">
        <x:f>IF(COUNTA(A115:B115,D115:G115,I115,K115,M115,Q115,AB115:AD115)=0,0,IF(OR(S115&lt;&gt;"",T115&gt;0),1,IF(ISNUMBER(J115),IF(OR(J115&lt;0,AND(J115&gt;0,M115="Esgotado")),1,0),0)))</x:f>
        <x:v>0</x:v>
      </x:c>
      <x:c r="V115" s="163" t="str">
        <x:f>IF(A115="","",IF(OR(U115&gt;0,Listas!$B$13&lt;&gt;"OK"),"n.a.",IF(AND(J115&gt;0,M115="Liberado",G115&gt;=Listas!$B$6),J115,0)))</x:f>
      </x:c>
      <x:c r="W115" s="163" t="str">
        <x:f>IF(A115="","",IF(OR(U115&gt;0,Listas!$B$13&lt;&gt;"OK"),"n.a.",V115*K115))</x:f>
      </x:c>
      <x:c r="X115" s="167" t="n">
        <x:f>IF(COUNTA(A115:B115,D115:G115,I115,K115,M115,Q115,AB115:AD115)=0,0,IF(OR(Listas!$B$19="Todos",B115=Listas!$B$19,COUNTIFS(Produtos!$A$5:$A$204,B115)&lt;&gt;1),1,0))</x:f>
        <x:v>0</x:v>
      </x:c>
      <x:c r="Y115" s="167" t="str">
        <x:f>IF(X115=0,"",IF(Listas!$B$13&lt;&gt;"OK","Revisar parâmetros",IF(U115&gt;0,IF(S115&lt;&gt;"",S115,IF(T115&gt;0,"Revisar movimentos",IF(AND(ISNUMBER(J115),J115&lt;0),"Saldo negativo","Status esgotado com saldo"))),IF(AG115&lt;&gt;"",AG115&amp;". ","")&amp;IF(J115&lt;=0,"",IF(N115="VENCIDO","Validade vencida. ","")&amp;IF(M115="Quarentena","Em quarentena. ","")&amp;IF(M115="Bloqueado","Lote bloqueado. ","")&amp;IF(N115="CRÍTICO","Validade crítica. ","")&amp;IF(N115="VENCE NA JANELA","Vence na janela. ","")))))</x:f>
      </x:c>
      <x:c r="Z115" s="167" t="n">
        <x:f>IF(OR(X115=0,Y115=""),0,IF(OR(Listas!$B$13&lt;&gt;"OK",U115&gt;0,AH115&gt;0),1,IF(N115="VENCIDO",2,IF(OR(M115="Quarentena",M115="Bloqueado"),3,IF(N115="CRÍTICO",4,5)))))</x:f>
        <x:v>0</x:v>
      </x:c>
      <x:c r="AA115" s="167" t="n">
        <x:f>IF(Z115=0,0,COUNTIFS($Z$5:$Z$204,"&gt;0",$Z$5:$Z$204,"&lt;"&amp;Z115,$X$5:$X$204,1)+COUNTIFS($Z$5:Z115,Z115,$X$5:X115,1))</x:f>
        <x:v>0</x:v>
      </x:c>
      <x:c r="AB115" s="168"/>
      <x:c r="AC115" s="168"/>
      <x:c r="AD115" s="169"/>
      <x:c r="AE115" s="167" t="str">
        <x:f>IF(X115=0,"",IF(OR(U115&gt;0,Listas!$B$13&lt;&gt;"OK"),"Dados pendentes",IF(J115&lt;=0,"Sem saldo",IF(N115="VENCIDO","Vencidos",IF(OR(M115="Quarentena",M115="Bloqueado"),"Restritos vigentes",IF(OR(N115="CRÍTICO",N115="VENCE NA JANELA"),"Liberados na janela","Demais liberados"))))))</x:f>
      </x:c>
      <x:c r="AF115" s="167" t="str">
        <x:f>IF(A115&lt;&gt;"",A115,IF(U115&gt;0,"Sem ID (linha "&amp;ROW()&amp;")",""))</x:f>
      </x:c>
      <x:c r="AG115" s="167" t="str">
        <x:f>IF(AD115="","",IF(OR(NOT(ISNUMBER(AD115)),AD115&lt;=0),"Prazo da ação inválido",""))</x:f>
      </x:c>
      <x:c r="AH115" s="167" t="n">
        <x:f>IF(AG115="",0,1)</x:f>
        <x:v>0</x:v>
      </x:c>
    </x:row>
    <x:row r="116" ht="32" customHeight="1">
      <x:c r="A116" s="27"/>
      <x:c r="B116" s="27"/>
      <x:c r="C116" s="40" t="str">
        <x:f>IF($B116="","",IFERROR(INDEX(Produtos!$B$5:$B$204,MATCH($B116,Produtos!$A$5:$A$204,0)),""))</x:f>
      </x:c>
      <x:c r="D116" s="170"/>
      <x:c r="E116" s="179"/>
      <x:c r="F116" s="179"/>
      <x:c r="G116" s="179"/>
      <x:c r="H116" s="40" t="str">
        <x:f>IF(A116="","",IF(OR(S116&lt;&gt;"",Listas!$B$13&lt;&gt;"OK"),"n.a.",G116-Listas!$B$6))</x:f>
      </x:c>
      <x:c r="I116" s="40"/>
      <x:c r="J116" s="40" t="str">
        <x:f>IF(A116="","",IF(OR(S116&lt;&gt;"",T116&gt;0,Listas!$B$13&lt;&gt;"OK"),"n.a.",SUMIFS(Movimentacoes!$H$5:$H$304,Movimentacoes!$D$5:$D$304,A116,Movimentacoes!$B$5:$B$304,"&lt;="&amp;Listas!$B$6)))</x:f>
      </x:c>
      <x:c r="K116" s="180"/>
      <x:c r="L116" s="181" t="str">
        <x:f>IF(A116="","",IF(OR(U116&gt;0,Listas!$B$13&lt;&gt;"OK"),"n.a.",J116*K116))</x:f>
      </x:c>
      <x:c r="M116" s="27"/>
      <x:c r="N116" s="40" t="str">
        <x:f>IF(A116="","",IF(OR(U116&gt;0,Listas!$B$13&lt;&gt;"OK"),"REVISAR DADOS",IF(J116=0,"SEM SALDO",IF(G116&lt;Listas!$B$6,"VENCIDO",IF(H116&lt;=Listas!$B$7,"CRÍTICO",IF(H116&lt;=Listas!$B$8,"VENCE NA JANELA","OK"))))))</x:f>
      </x:c>
      <x:c r="O116" s="41" t="str">
        <x:f>IF(A116="","",IF(AND(ISNUMBER(V116),V116&gt;0),G116,""))</x:f>
      </x:c>
      <x:c r="P116" s="40" t="str">
        <x:f>IF(A116="","",IF(OR(U116&gt;0,Listas!$B$13&lt;&gt;"OK"),"REVISAR DADOS",IF(J116=0,"ARQUIVAR LOTE",IF(M116="Quarentena","DECIDIR LIBERAÇÃO",IF(M116="Bloqueado","SEGREGAR E INVESTIGAR",IF(M116="Esgotado","REVISAR STATUS COM SALDO",IF(N116="VENCIDO","SEGREGAR E AVALIAR DESTINAÇÃO",IF(OR(N116="CRÍTICO",N116="VENCE NA JANELA"),"PRIORIZAR FEFO","MANTER ROTAÇÃO"))))))))</x:f>
      </x:c>
      <x:c r="Q116" s="27"/>
      <x:c r="R116" s="181" t="str">
        <x:f>IF(A116="","",IF(OR(U116&gt;0,Listas!$B$13&lt;&gt;"OK"),"n.a.",IF(OR(N116="VENCIDO",N116="CRÍTICO",N116="VENCE NA JANELA",M116="Quarentena",M116="Bloqueado"),L116,0)))</x:f>
      </x:c>
      <x:c r="S116" s="163" t="str">
        <x:f>IF(COUNTA(A116:B116,D116:G116,I116,K116,M116,Q116,AB116:AD116)=0,"",IF(OR(A116="",COUNTIFS($A$5:$A$204,A116)&lt;&gt;1),"Lote ausente ou duplicado",IF(OR(B116="",COUNTIFS(Produtos!$A$5:$A$204,B116)&lt;&gt;1),"SKU ausente ou desconhecido",IF(COUNTIFS(Produtos!$A$5:$A$204,B116,Produtos!$R$5:$R$204,1)&gt;0,"Revisar cadastro do produto",IF(OR(NOT(ISNUMBER(E116)),E116&lt;=0,NOT(ISNUMBER(G116)),G116&lt;=0,G116&lt;E116),"Recebimento ou validade inválida",IF(AND(F116&lt;&gt;"",OR(NOT(ISNUMBER(F116)),F116&lt;=0,F116&gt;E116)),"Fabricação inválida ou posterior ao recebimento",IF(OR(NOT(ISNUMBER(K116)),K116&lt;0,NOT(ISNUMBER(I116)),I116&lt;0),"Quantidade recebida ou custo inválido",IF(AND(M116&lt;&gt;"Liberado",M116&lt;&gt;"Quarentena",M116&lt;&gt;"Bloqueado",M116&lt;&gt;"Esgotado"),"Status de lote inválido",""))))))))</x:f>
      </x:c>
      <x:c r="T116" s="163" t="n">
        <x:f>IF(A116="",0,COUNTIFS(Movimentacoes!$D$5:$D$304,A116,Movimentacoes!$P$5:$P$304,1))</x:f>
        <x:v>0</x:v>
      </x:c>
      <x:c r="U116" s="163" t="n">
        <x:f>IF(COUNTA(A116:B116,D116:G116,I116,K116,M116,Q116,AB116:AD116)=0,0,IF(OR(S116&lt;&gt;"",T116&gt;0),1,IF(ISNUMBER(J116),IF(OR(J116&lt;0,AND(J116&gt;0,M116="Esgotado")),1,0),0)))</x:f>
        <x:v>0</x:v>
      </x:c>
      <x:c r="V116" s="163" t="str">
        <x:f>IF(A116="","",IF(OR(U116&gt;0,Listas!$B$13&lt;&gt;"OK"),"n.a.",IF(AND(J116&gt;0,M116="Liberado",G116&gt;=Listas!$B$6),J116,0)))</x:f>
      </x:c>
      <x:c r="W116" s="163" t="str">
        <x:f>IF(A116="","",IF(OR(U116&gt;0,Listas!$B$13&lt;&gt;"OK"),"n.a.",V116*K116))</x:f>
      </x:c>
      <x:c r="X116" s="167" t="n">
        <x:f>IF(COUNTA(A116:B116,D116:G116,I116,K116,M116,Q116,AB116:AD116)=0,0,IF(OR(Listas!$B$19="Todos",B116=Listas!$B$19,COUNTIFS(Produtos!$A$5:$A$204,B116)&lt;&gt;1),1,0))</x:f>
        <x:v>0</x:v>
      </x:c>
      <x:c r="Y116" s="167" t="str">
        <x:f>IF(X116=0,"",IF(Listas!$B$13&lt;&gt;"OK","Revisar parâmetros",IF(U116&gt;0,IF(S116&lt;&gt;"",S116,IF(T116&gt;0,"Revisar movimentos",IF(AND(ISNUMBER(J116),J116&lt;0),"Saldo negativo","Status esgotado com saldo"))),IF(AG116&lt;&gt;"",AG116&amp;". ","")&amp;IF(J116&lt;=0,"",IF(N116="VENCIDO","Validade vencida. ","")&amp;IF(M116="Quarentena","Em quarentena. ","")&amp;IF(M116="Bloqueado","Lote bloqueado. ","")&amp;IF(N116="CRÍTICO","Validade crítica. ","")&amp;IF(N116="VENCE NA JANELA","Vence na janela. ","")))))</x:f>
      </x:c>
      <x:c r="Z116" s="167" t="n">
        <x:f>IF(OR(X116=0,Y116=""),0,IF(OR(Listas!$B$13&lt;&gt;"OK",U116&gt;0,AH116&gt;0),1,IF(N116="VENCIDO",2,IF(OR(M116="Quarentena",M116="Bloqueado"),3,IF(N116="CRÍTICO",4,5)))))</x:f>
        <x:v>0</x:v>
      </x:c>
      <x:c r="AA116" s="167" t="n">
        <x:f>IF(Z116=0,0,COUNTIFS($Z$5:$Z$204,"&gt;0",$Z$5:$Z$204,"&lt;"&amp;Z116,$X$5:$X$204,1)+COUNTIFS($Z$5:Z116,Z116,$X$5:X116,1))</x:f>
        <x:v>0</x:v>
      </x:c>
      <x:c r="AB116" s="168"/>
      <x:c r="AC116" s="168"/>
      <x:c r="AD116" s="169"/>
      <x:c r="AE116" s="167" t="str">
        <x:f>IF(X116=0,"",IF(OR(U116&gt;0,Listas!$B$13&lt;&gt;"OK"),"Dados pendentes",IF(J116&lt;=0,"Sem saldo",IF(N116="VENCIDO","Vencidos",IF(OR(M116="Quarentena",M116="Bloqueado"),"Restritos vigentes",IF(OR(N116="CRÍTICO",N116="VENCE NA JANELA"),"Liberados na janela","Demais liberados"))))))</x:f>
      </x:c>
      <x:c r="AF116" s="167" t="str">
        <x:f>IF(A116&lt;&gt;"",A116,IF(U116&gt;0,"Sem ID (linha "&amp;ROW()&amp;")",""))</x:f>
      </x:c>
      <x:c r="AG116" s="167" t="str">
        <x:f>IF(AD116="","",IF(OR(NOT(ISNUMBER(AD116)),AD116&lt;=0),"Prazo da ação inválido",""))</x:f>
      </x:c>
      <x:c r="AH116" s="167" t="n">
        <x:f>IF(AG116="",0,1)</x:f>
        <x:v>0</x:v>
      </x:c>
    </x:row>
    <x:row r="117" ht="32" customHeight="1">
      <x:c r="A117" s="27"/>
      <x:c r="B117" s="27"/>
      <x:c r="C117" s="40" t="str">
        <x:f>IF($B117="","",IFERROR(INDEX(Produtos!$B$5:$B$204,MATCH($B117,Produtos!$A$5:$A$204,0)),""))</x:f>
      </x:c>
      <x:c r="D117" s="170"/>
      <x:c r="E117" s="179"/>
      <x:c r="F117" s="179"/>
      <x:c r="G117" s="179"/>
      <x:c r="H117" s="40" t="str">
        <x:f>IF(A117="","",IF(OR(S117&lt;&gt;"",Listas!$B$13&lt;&gt;"OK"),"n.a.",G117-Listas!$B$6))</x:f>
      </x:c>
      <x:c r="I117" s="40"/>
      <x:c r="J117" s="40" t="str">
        <x:f>IF(A117="","",IF(OR(S117&lt;&gt;"",T117&gt;0,Listas!$B$13&lt;&gt;"OK"),"n.a.",SUMIFS(Movimentacoes!$H$5:$H$304,Movimentacoes!$D$5:$D$304,A117,Movimentacoes!$B$5:$B$304,"&lt;="&amp;Listas!$B$6)))</x:f>
      </x:c>
      <x:c r="K117" s="180"/>
      <x:c r="L117" s="181" t="str">
        <x:f>IF(A117="","",IF(OR(U117&gt;0,Listas!$B$13&lt;&gt;"OK"),"n.a.",J117*K117))</x:f>
      </x:c>
      <x:c r="M117" s="27"/>
      <x:c r="N117" s="40" t="str">
        <x:f>IF(A117="","",IF(OR(U117&gt;0,Listas!$B$13&lt;&gt;"OK"),"REVISAR DADOS",IF(J117=0,"SEM SALDO",IF(G117&lt;Listas!$B$6,"VENCIDO",IF(H117&lt;=Listas!$B$7,"CRÍTICO",IF(H117&lt;=Listas!$B$8,"VENCE NA JANELA","OK"))))))</x:f>
      </x:c>
      <x:c r="O117" s="41" t="str">
        <x:f>IF(A117="","",IF(AND(ISNUMBER(V117),V117&gt;0),G117,""))</x:f>
      </x:c>
      <x:c r="P117" s="40" t="str">
        <x:f>IF(A117="","",IF(OR(U117&gt;0,Listas!$B$13&lt;&gt;"OK"),"REVISAR DADOS",IF(J117=0,"ARQUIVAR LOTE",IF(M117="Quarentena","DECIDIR LIBERAÇÃO",IF(M117="Bloqueado","SEGREGAR E INVESTIGAR",IF(M117="Esgotado","REVISAR STATUS COM SALDO",IF(N117="VENCIDO","SEGREGAR E AVALIAR DESTINAÇÃO",IF(OR(N117="CRÍTICO",N117="VENCE NA JANELA"),"PRIORIZAR FEFO","MANTER ROTAÇÃO"))))))))</x:f>
      </x:c>
      <x:c r="Q117" s="27"/>
      <x:c r="R117" s="181" t="str">
        <x:f>IF(A117="","",IF(OR(U117&gt;0,Listas!$B$13&lt;&gt;"OK"),"n.a.",IF(OR(N117="VENCIDO",N117="CRÍTICO",N117="VENCE NA JANELA",M117="Quarentena",M117="Bloqueado"),L117,0)))</x:f>
      </x:c>
      <x:c r="S117" s="163" t="str">
        <x:f>IF(COUNTA(A117:B117,D117:G117,I117,K117,M117,Q117,AB117:AD117)=0,"",IF(OR(A117="",COUNTIFS($A$5:$A$204,A117)&lt;&gt;1),"Lote ausente ou duplicado",IF(OR(B117="",COUNTIFS(Produtos!$A$5:$A$204,B117)&lt;&gt;1),"SKU ausente ou desconhecido",IF(COUNTIFS(Produtos!$A$5:$A$204,B117,Produtos!$R$5:$R$204,1)&gt;0,"Revisar cadastro do produto",IF(OR(NOT(ISNUMBER(E117)),E117&lt;=0,NOT(ISNUMBER(G117)),G117&lt;=0,G117&lt;E117),"Recebimento ou validade inválida",IF(AND(F117&lt;&gt;"",OR(NOT(ISNUMBER(F117)),F117&lt;=0,F117&gt;E117)),"Fabricação inválida ou posterior ao recebimento",IF(OR(NOT(ISNUMBER(K117)),K117&lt;0,NOT(ISNUMBER(I117)),I117&lt;0),"Quantidade recebida ou custo inválido",IF(AND(M117&lt;&gt;"Liberado",M117&lt;&gt;"Quarentena",M117&lt;&gt;"Bloqueado",M117&lt;&gt;"Esgotado"),"Status de lote inválido",""))))))))</x:f>
      </x:c>
      <x:c r="T117" s="163" t="n">
        <x:f>IF(A117="",0,COUNTIFS(Movimentacoes!$D$5:$D$304,A117,Movimentacoes!$P$5:$P$304,1))</x:f>
        <x:v>0</x:v>
      </x:c>
      <x:c r="U117" s="163" t="n">
        <x:f>IF(COUNTA(A117:B117,D117:G117,I117,K117,M117,Q117,AB117:AD117)=0,0,IF(OR(S117&lt;&gt;"",T117&gt;0),1,IF(ISNUMBER(J117),IF(OR(J117&lt;0,AND(J117&gt;0,M117="Esgotado")),1,0),0)))</x:f>
        <x:v>0</x:v>
      </x:c>
      <x:c r="V117" s="163" t="str">
        <x:f>IF(A117="","",IF(OR(U117&gt;0,Listas!$B$13&lt;&gt;"OK"),"n.a.",IF(AND(J117&gt;0,M117="Liberado",G117&gt;=Listas!$B$6),J117,0)))</x:f>
      </x:c>
      <x:c r="W117" s="163" t="str">
        <x:f>IF(A117="","",IF(OR(U117&gt;0,Listas!$B$13&lt;&gt;"OK"),"n.a.",V117*K117))</x:f>
      </x:c>
      <x:c r="X117" s="167" t="n">
        <x:f>IF(COUNTA(A117:B117,D117:G117,I117,K117,M117,Q117,AB117:AD117)=0,0,IF(OR(Listas!$B$19="Todos",B117=Listas!$B$19,COUNTIFS(Produtos!$A$5:$A$204,B117)&lt;&gt;1),1,0))</x:f>
        <x:v>0</x:v>
      </x:c>
      <x:c r="Y117" s="167" t="str">
        <x:f>IF(X117=0,"",IF(Listas!$B$13&lt;&gt;"OK","Revisar parâmetros",IF(U117&gt;0,IF(S117&lt;&gt;"",S117,IF(T117&gt;0,"Revisar movimentos",IF(AND(ISNUMBER(J117),J117&lt;0),"Saldo negativo","Status esgotado com saldo"))),IF(AG117&lt;&gt;"",AG117&amp;". ","")&amp;IF(J117&lt;=0,"",IF(N117="VENCIDO","Validade vencida. ","")&amp;IF(M117="Quarentena","Em quarentena. ","")&amp;IF(M117="Bloqueado","Lote bloqueado. ","")&amp;IF(N117="CRÍTICO","Validade crítica. ","")&amp;IF(N117="VENCE NA JANELA","Vence na janela. ","")))))</x:f>
      </x:c>
      <x:c r="Z117" s="167" t="n">
        <x:f>IF(OR(X117=0,Y117=""),0,IF(OR(Listas!$B$13&lt;&gt;"OK",U117&gt;0,AH117&gt;0),1,IF(N117="VENCIDO",2,IF(OR(M117="Quarentena",M117="Bloqueado"),3,IF(N117="CRÍTICO",4,5)))))</x:f>
        <x:v>0</x:v>
      </x:c>
      <x:c r="AA117" s="167" t="n">
        <x:f>IF(Z117=0,0,COUNTIFS($Z$5:$Z$204,"&gt;0",$Z$5:$Z$204,"&lt;"&amp;Z117,$X$5:$X$204,1)+COUNTIFS($Z$5:Z117,Z117,$X$5:X117,1))</x:f>
        <x:v>0</x:v>
      </x:c>
      <x:c r="AB117" s="168"/>
      <x:c r="AC117" s="168"/>
      <x:c r="AD117" s="169"/>
      <x:c r="AE117" s="167" t="str">
        <x:f>IF(X117=0,"",IF(OR(U117&gt;0,Listas!$B$13&lt;&gt;"OK"),"Dados pendentes",IF(J117&lt;=0,"Sem saldo",IF(N117="VENCIDO","Vencidos",IF(OR(M117="Quarentena",M117="Bloqueado"),"Restritos vigentes",IF(OR(N117="CRÍTICO",N117="VENCE NA JANELA"),"Liberados na janela","Demais liberados"))))))</x:f>
      </x:c>
      <x:c r="AF117" s="167" t="str">
        <x:f>IF(A117&lt;&gt;"",A117,IF(U117&gt;0,"Sem ID (linha "&amp;ROW()&amp;")",""))</x:f>
      </x:c>
      <x:c r="AG117" s="167" t="str">
        <x:f>IF(AD117="","",IF(OR(NOT(ISNUMBER(AD117)),AD117&lt;=0),"Prazo da ação inválido",""))</x:f>
      </x:c>
      <x:c r="AH117" s="167" t="n">
        <x:f>IF(AG117="",0,1)</x:f>
        <x:v>0</x:v>
      </x:c>
    </x:row>
    <x:row r="118" ht="32" customHeight="1">
      <x:c r="A118" s="27"/>
      <x:c r="B118" s="27"/>
      <x:c r="C118" s="40" t="str">
        <x:f>IF($B118="","",IFERROR(INDEX(Produtos!$B$5:$B$204,MATCH($B118,Produtos!$A$5:$A$204,0)),""))</x:f>
      </x:c>
      <x:c r="D118" s="170"/>
      <x:c r="E118" s="179"/>
      <x:c r="F118" s="179"/>
      <x:c r="G118" s="179"/>
      <x:c r="H118" s="40" t="str">
        <x:f>IF(A118="","",IF(OR(S118&lt;&gt;"",Listas!$B$13&lt;&gt;"OK"),"n.a.",G118-Listas!$B$6))</x:f>
      </x:c>
      <x:c r="I118" s="40"/>
      <x:c r="J118" s="40" t="str">
        <x:f>IF(A118="","",IF(OR(S118&lt;&gt;"",T118&gt;0,Listas!$B$13&lt;&gt;"OK"),"n.a.",SUMIFS(Movimentacoes!$H$5:$H$304,Movimentacoes!$D$5:$D$304,A118,Movimentacoes!$B$5:$B$304,"&lt;="&amp;Listas!$B$6)))</x:f>
      </x:c>
      <x:c r="K118" s="180"/>
      <x:c r="L118" s="181" t="str">
        <x:f>IF(A118="","",IF(OR(U118&gt;0,Listas!$B$13&lt;&gt;"OK"),"n.a.",J118*K118))</x:f>
      </x:c>
      <x:c r="M118" s="27"/>
      <x:c r="N118" s="40" t="str">
        <x:f>IF(A118="","",IF(OR(U118&gt;0,Listas!$B$13&lt;&gt;"OK"),"REVISAR DADOS",IF(J118=0,"SEM SALDO",IF(G118&lt;Listas!$B$6,"VENCIDO",IF(H118&lt;=Listas!$B$7,"CRÍTICO",IF(H118&lt;=Listas!$B$8,"VENCE NA JANELA","OK"))))))</x:f>
      </x:c>
      <x:c r="O118" s="41" t="str">
        <x:f>IF(A118="","",IF(AND(ISNUMBER(V118),V118&gt;0),G118,""))</x:f>
      </x:c>
      <x:c r="P118" s="40" t="str">
        <x:f>IF(A118="","",IF(OR(U118&gt;0,Listas!$B$13&lt;&gt;"OK"),"REVISAR DADOS",IF(J118=0,"ARQUIVAR LOTE",IF(M118="Quarentena","DECIDIR LIBERAÇÃO",IF(M118="Bloqueado","SEGREGAR E INVESTIGAR",IF(M118="Esgotado","REVISAR STATUS COM SALDO",IF(N118="VENCIDO","SEGREGAR E AVALIAR DESTINAÇÃO",IF(OR(N118="CRÍTICO",N118="VENCE NA JANELA"),"PRIORIZAR FEFO","MANTER ROTAÇÃO"))))))))</x:f>
      </x:c>
      <x:c r="Q118" s="27"/>
      <x:c r="R118" s="181" t="str">
        <x:f>IF(A118="","",IF(OR(U118&gt;0,Listas!$B$13&lt;&gt;"OK"),"n.a.",IF(OR(N118="VENCIDO",N118="CRÍTICO",N118="VENCE NA JANELA",M118="Quarentena",M118="Bloqueado"),L118,0)))</x:f>
      </x:c>
      <x:c r="S118" s="163" t="str">
        <x:f>IF(COUNTA(A118:B118,D118:G118,I118,K118,M118,Q118,AB118:AD118)=0,"",IF(OR(A118="",COUNTIFS($A$5:$A$204,A118)&lt;&gt;1),"Lote ausente ou duplicado",IF(OR(B118="",COUNTIFS(Produtos!$A$5:$A$204,B118)&lt;&gt;1),"SKU ausente ou desconhecido",IF(COUNTIFS(Produtos!$A$5:$A$204,B118,Produtos!$R$5:$R$204,1)&gt;0,"Revisar cadastro do produto",IF(OR(NOT(ISNUMBER(E118)),E118&lt;=0,NOT(ISNUMBER(G118)),G118&lt;=0,G118&lt;E118),"Recebimento ou validade inválida",IF(AND(F118&lt;&gt;"",OR(NOT(ISNUMBER(F118)),F118&lt;=0,F118&gt;E118)),"Fabricação inválida ou posterior ao recebimento",IF(OR(NOT(ISNUMBER(K118)),K118&lt;0,NOT(ISNUMBER(I118)),I118&lt;0),"Quantidade recebida ou custo inválido",IF(AND(M118&lt;&gt;"Liberado",M118&lt;&gt;"Quarentena",M118&lt;&gt;"Bloqueado",M118&lt;&gt;"Esgotado"),"Status de lote inválido",""))))))))</x:f>
      </x:c>
      <x:c r="T118" s="163" t="n">
        <x:f>IF(A118="",0,COUNTIFS(Movimentacoes!$D$5:$D$304,A118,Movimentacoes!$P$5:$P$304,1))</x:f>
        <x:v>0</x:v>
      </x:c>
      <x:c r="U118" s="163" t="n">
        <x:f>IF(COUNTA(A118:B118,D118:G118,I118,K118,M118,Q118,AB118:AD118)=0,0,IF(OR(S118&lt;&gt;"",T118&gt;0),1,IF(ISNUMBER(J118),IF(OR(J118&lt;0,AND(J118&gt;0,M118="Esgotado")),1,0),0)))</x:f>
        <x:v>0</x:v>
      </x:c>
      <x:c r="V118" s="163" t="str">
        <x:f>IF(A118="","",IF(OR(U118&gt;0,Listas!$B$13&lt;&gt;"OK"),"n.a.",IF(AND(J118&gt;0,M118="Liberado",G118&gt;=Listas!$B$6),J118,0)))</x:f>
      </x:c>
      <x:c r="W118" s="163" t="str">
        <x:f>IF(A118="","",IF(OR(U118&gt;0,Listas!$B$13&lt;&gt;"OK"),"n.a.",V118*K118))</x:f>
      </x:c>
      <x:c r="X118" s="167" t="n">
        <x:f>IF(COUNTA(A118:B118,D118:G118,I118,K118,M118,Q118,AB118:AD118)=0,0,IF(OR(Listas!$B$19="Todos",B118=Listas!$B$19,COUNTIFS(Produtos!$A$5:$A$204,B118)&lt;&gt;1),1,0))</x:f>
        <x:v>0</x:v>
      </x:c>
      <x:c r="Y118" s="167" t="str">
        <x:f>IF(X118=0,"",IF(Listas!$B$13&lt;&gt;"OK","Revisar parâmetros",IF(U118&gt;0,IF(S118&lt;&gt;"",S118,IF(T118&gt;0,"Revisar movimentos",IF(AND(ISNUMBER(J118),J118&lt;0),"Saldo negativo","Status esgotado com saldo"))),IF(AG118&lt;&gt;"",AG118&amp;". ","")&amp;IF(J118&lt;=0,"",IF(N118="VENCIDO","Validade vencida. ","")&amp;IF(M118="Quarentena","Em quarentena. ","")&amp;IF(M118="Bloqueado","Lote bloqueado. ","")&amp;IF(N118="CRÍTICO","Validade crítica. ","")&amp;IF(N118="VENCE NA JANELA","Vence na janela. ","")))))</x:f>
      </x:c>
      <x:c r="Z118" s="167" t="n">
        <x:f>IF(OR(X118=0,Y118=""),0,IF(OR(Listas!$B$13&lt;&gt;"OK",U118&gt;0,AH118&gt;0),1,IF(N118="VENCIDO",2,IF(OR(M118="Quarentena",M118="Bloqueado"),3,IF(N118="CRÍTICO",4,5)))))</x:f>
        <x:v>0</x:v>
      </x:c>
      <x:c r="AA118" s="167" t="n">
        <x:f>IF(Z118=0,0,COUNTIFS($Z$5:$Z$204,"&gt;0",$Z$5:$Z$204,"&lt;"&amp;Z118,$X$5:$X$204,1)+COUNTIFS($Z$5:Z118,Z118,$X$5:X118,1))</x:f>
        <x:v>0</x:v>
      </x:c>
      <x:c r="AB118" s="168"/>
      <x:c r="AC118" s="168"/>
      <x:c r="AD118" s="169"/>
      <x:c r="AE118" s="167" t="str">
        <x:f>IF(X118=0,"",IF(OR(U118&gt;0,Listas!$B$13&lt;&gt;"OK"),"Dados pendentes",IF(J118&lt;=0,"Sem saldo",IF(N118="VENCIDO","Vencidos",IF(OR(M118="Quarentena",M118="Bloqueado"),"Restritos vigentes",IF(OR(N118="CRÍTICO",N118="VENCE NA JANELA"),"Liberados na janela","Demais liberados"))))))</x:f>
      </x:c>
      <x:c r="AF118" s="167" t="str">
        <x:f>IF(A118&lt;&gt;"",A118,IF(U118&gt;0,"Sem ID (linha "&amp;ROW()&amp;")",""))</x:f>
      </x:c>
      <x:c r="AG118" s="167" t="str">
        <x:f>IF(AD118="","",IF(OR(NOT(ISNUMBER(AD118)),AD118&lt;=0),"Prazo da ação inválido",""))</x:f>
      </x:c>
      <x:c r="AH118" s="167" t="n">
        <x:f>IF(AG118="",0,1)</x:f>
        <x:v>0</x:v>
      </x:c>
    </x:row>
    <x:row r="119" ht="32" customHeight="1">
      <x:c r="A119" s="27"/>
      <x:c r="B119" s="27"/>
      <x:c r="C119" s="40" t="str">
        <x:f>IF($B119="","",IFERROR(INDEX(Produtos!$B$5:$B$204,MATCH($B119,Produtos!$A$5:$A$204,0)),""))</x:f>
      </x:c>
      <x:c r="D119" s="170"/>
      <x:c r="E119" s="179"/>
      <x:c r="F119" s="179"/>
      <x:c r="G119" s="179"/>
      <x:c r="H119" s="40" t="str">
        <x:f>IF(A119="","",IF(OR(S119&lt;&gt;"",Listas!$B$13&lt;&gt;"OK"),"n.a.",G119-Listas!$B$6))</x:f>
      </x:c>
      <x:c r="I119" s="40"/>
      <x:c r="J119" s="40" t="str">
        <x:f>IF(A119="","",IF(OR(S119&lt;&gt;"",T119&gt;0,Listas!$B$13&lt;&gt;"OK"),"n.a.",SUMIFS(Movimentacoes!$H$5:$H$304,Movimentacoes!$D$5:$D$304,A119,Movimentacoes!$B$5:$B$304,"&lt;="&amp;Listas!$B$6)))</x:f>
      </x:c>
      <x:c r="K119" s="180"/>
      <x:c r="L119" s="181" t="str">
        <x:f>IF(A119="","",IF(OR(U119&gt;0,Listas!$B$13&lt;&gt;"OK"),"n.a.",J119*K119))</x:f>
      </x:c>
      <x:c r="M119" s="27"/>
      <x:c r="N119" s="40" t="str">
        <x:f>IF(A119="","",IF(OR(U119&gt;0,Listas!$B$13&lt;&gt;"OK"),"REVISAR DADOS",IF(J119=0,"SEM SALDO",IF(G119&lt;Listas!$B$6,"VENCIDO",IF(H119&lt;=Listas!$B$7,"CRÍTICO",IF(H119&lt;=Listas!$B$8,"VENCE NA JANELA","OK"))))))</x:f>
      </x:c>
      <x:c r="O119" s="41" t="str">
        <x:f>IF(A119="","",IF(AND(ISNUMBER(V119),V119&gt;0),G119,""))</x:f>
      </x:c>
      <x:c r="P119" s="40" t="str">
        <x:f>IF(A119="","",IF(OR(U119&gt;0,Listas!$B$13&lt;&gt;"OK"),"REVISAR DADOS",IF(J119=0,"ARQUIVAR LOTE",IF(M119="Quarentena","DECIDIR LIBERAÇÃO",IF(M119="Bloqueado","SEGREGAR E INVESTIGAR",IF(M119="Esgotado","REVISAR STATUS COM SALDO",IF(N119="VENCIDO","SEGREGAR E AVALIAR DESTINAÇÃO",IF(OR(N119="CRÍTICO",N119="VENCE NA JANELA"),"PRIORIZAR FEFO","MANTER ROTAÇÃO"))))))))</x:f>
      </x:c>
      <x:c r="Q119" s="27"/>
      <x:c r="R119" s="181" t="str">
        <x:f>IF(A119="","",IF(OR(U119&gt;0,Listas!$B$13&lt;&gt;"OK"),"n.a.",IF(OR(N119="VENCIDO",N119="CRÍTICO",N119="VENCE NA JANELA",M119="Quarentena",M119="Bloqueado"),L119,0)))</x:f>
      </x:c>
      <x:c r="S119" s="163" t="str">
        <x:f>IF(COUNTA(A119:B119,D119:G119,I119,K119,M119,Q119,AB119:AD119)=0,"",IF(OR(A119="",COUNTIFS($A$5:$A$204,A119)&lt;&gt;1),"Lote ausente ou duplicado",IF(OR(B119="",COUNTIFS(Produtos!$A$5:$A$204,B119)&lt;&gt;1),"SKU ausente ou desconhecido",IF(COUNTIFS(Produtos!$A$5:$A$204,B119,Produtos!$R$5:$R$204,1)&gt;0,"Revisar cadastro do produto",IF(OR(NOT(ISNUMBER(E119)),E119&lt;=0,NOT(ISNUMBER(G119)),G119&lt;=0,G119&lt;E119),"Recebimento ou validade inválida",IF(AND(F119&lt;&gt;"",OR(NOT(ISNUMBER(F119)),F119&lt;=0,F119&gt;E119)),"Fabricação inválida ou posterior ao recebimento",IF(OR(NOT(ISNUMBER(K119)),K119&lt;0,NOT(ISNUMBER(I119)),I119&lt;0),"Quantidade recebida ou custo inválido",IF(AND(M119&lt;&gt;"Liberado",M119&lt;&gt;"Quarentena",M119&lt;&gt;"Bloqueado",M119&lt;&gt;"Esgotado"),"Status de lote inválido",""))))))))</x:f>
      </x:c>
      <x:c r="T119" s="163" t="n">
        <x:f>IF(A119="",0,COUNTIFS(Movimentacoes!$D$5:$D$304,A119,Movimentacoes!$P$5:$P$304,1))</x:f>
        <x:v>0</x:v>
      </x:c>
      <x:c r="U119" s="163" t="n">
        <x:f>IF(COUNTA(A119:B119,D119:G119,I119,K119,M119,Q119,AB119:AD119)=0,0,IF(OR(S119&lt;&gt;"",T119&gt;0),1,IF(ISNUMBER(J119),IF(OR(J119&lt;0,AND(J119&gt;0,M119="Esgotado")),1,0),0)))</x:f>
        <x:v>0</x:v>
      </x:c>
      <x:c r="V119" s="163" t="str">
        <x:f>IF(A119="","",IF(OR(U119&gt;0,Listas!$B$13&lt;&gt;"OK"),"n.a.",IF(AND(J119&gt;0,M119="Liberado",G119&gt;=Listas!$B$6),J119,0)))</x:f>
      </x:c>
      <x:c r="W119" s="163" t="str">
        <x:f>IF(A119="","",IF(OR(U119&gt;0,Listas!$B$13&lt;&gt;"OK"),"n.a.",V119*K119))</x:f>
      </x:c>
      <x:c r="X119" s="167" t="n">
        <x:f>IF(COUNTA(A119:B119,D119:G119,I119,K119,M119,Q119,AB119:AD119)=0,0,IF(OR(Listas!$B$19="Todos",B119=Listas!$B$19,COUNTIFS(Produtos!$A$5:$A$204,B119)&lt;&gt;1),1,0))</x:f>
        <x:v>0</x:v>
      </x:c>
      <x:c r="Y119" s="167" t="str">
        <x:f>IF(X119=0,"",IF(Listas!$B$13&lt;&gt;"OK","Revisar parâmetros",IF(U119&gt;0,IF(S119&lt;&gt;"",S119,IF(T119&gt;0,"Revisar movimentos",IF(AND(ISNUMBER(J119),J119&lt;0),"Saldo negativo","Status esgotado com saldo"))),IF(AG119&lt;&gt;"",AG119&amp;". ","")&amp;IF(J119&lt;=0,"",IF(N119="VENCIDO","Validade vencida. ","")&amp;IF(M119="Quarentena","Em quarentena. ","")&amp;IF(M119="Bloqueado","Lote bloqueado. ","")&amp;IF(N119="CRÍTICO","Validade crítica. ","")&amp;IF(N119="VENCE NA JANELA","Vence na janela. ","")))))</x:f>
      </x:c>
      <x:c r="Z119" s="167" t="n">
        <x:f>IF(OR(X119=0,Y119=""),0,IF(OR(Listas!$B$13&lt;&gt;"OK",U119&gt;0,AH119&gt;0),1,IF(N119="VENCIDO",2,IF(OR(M119="Quarentena",M119="Bloqueado"),3,IF(N119="CRÍTICO",4,5)))))</x:f>
        <x:v>0</x:v>
      </x:c>
      <x:c r="AA119" s="167" t="n">
        <x:f>IF(Z119=0,0,COUNTIFS($Z$5:$Z$204,"&gt;0",$Z$5:$Z$204,"&lt;"&amp;Z119,$X$5:$X$204,1)+COUNTIFS($Z$5:Z119,Z119,$X$5:X119,1))</x:f>
        <x:v>0</x:v>
      </x:c>
      <x:c r="AB119" s="168"/>
      <x:c r="AC119" s="168"/>
      <x:c r="AD119" s="169"/>
      <x:c r="AE119" s="167" t="str">
        <x:f>IF(X119=0,"",IF(OR(U119&gt;0,Listas!$B$13&lt;&gt;"OK"),"Dados pendentes",IF(J119&lt;=0,"Sem saldo",IF(N119="VENCIDO","Vencidos",IF(OR(M119="Quarentena",M119="Bloqueado"),"Restritos vigentes",IF(OR(N119="CRÍTICO",N119="VENCE NA JANELA"),"Liberados na janela","Demais liberados"))))))</x:f>
      </x:c>
      <x:c r="AF119" s="167" t="str">
        <x:f>IF(A119&lt;&gt;"",A119,IF(U119&gt;0,"Sem ID (linha "&amp;ROW()&amp;")",""))</x:f>
      </x:c>
      <x:c r="AG119" s="167" t="str">
        <x:f>IF(AD119="","",IF(OR(NOT(ISNUMBER(AD119)),AD119&lt;=0),"Prazo da ação inválido",""))</x:f>
      </x:c>
      <x:c r="AH119" s="167" t="n">
        <x:f>IF(AG119="",0,1)</x:f>
        <x:v>0</x:v>
      </x:c>
    </x:row>
    <x:row r="120" ht="32" customHeight="1">
      <x:c r="A120" s="27"/>
      <x:c r="B120" s="27"/>
      <x:c r="C120" s="40" t="str">
        <x:f>IF($B120="","",IFERROR(INDEX(Produtos!$B$5:$B$204,MATCH($B120,Produtos!$A$5:$A$204,0)),""))</x:f>
      </x:c>
      <x:c r="D120" s="170"/>
      <x:c r="E120" s="179"/>
      <x:c r="F120" s="179"/>
      <x:c r="G120" s="179"/>
      <x:c r="H120" s="40" t="str">
        <x:f>IF(A120="","",IF(OR(S120&lt;&gt;"",Listas!$B$13&lt;&gt;"OK"),"n.a.",G120-Listas!$B$6))</x:f>
      </x:c>
      <x:c r="I120" s="40"/>
      <x:c r="J120" s="40" t="str">
        <x:f>IF(A120="","",IF(OR(S120&lt;&gt;"",T120&gt;0,Listas!$B$13&lt;&gt;"OK"),"n.a.",SUMIFS(Movimentacoes!$H$5:$H$304,Movimentacoes!$D$5:$D$304,A120,Movimentacoes!$B$5:$B$304,"&lt;="&amp;Listas!$B$6)))</x:f>
      </x:c>
      <x:c r="K120" s="180"/>
      <x:c r="L120" s="181" t="str">
        <x:f>IF(A120="","",IF(OR(U120&gt;0,Listas!$B$13&lt;&gt;"OK"),"n.a.",J120*K120))</x:f>
      </x:c>
      <x:c r="M120" s="27"/>
      <x:c r="N120" s="40" t="str">
        <x:f>IF(A120="","",IF(OR(U120&gt;0,Listas!$B$13&lt;&gt;"OK"),"REVISAR DADOS",IF(J120=0,"SEM SALDO",IF(G120&lt;Listas!$B$6,"VENCIDO",IF(H120&lt;=Listas!$B$7,"CRÍTICO",IF(H120&lt;=Listas!$B$8,"VENCE NA JANELA","OK"))))))</x:f>
      </x:c>
      <x:c r="O120" s="41" t="str">
        <x:f>IF(A120="","",IF(AND(ISNUMBER(V120),V120&gt;0),G120,""))</x:f>
      </x:c>
      <x:c r="P120" s="40" t="str">
        <x:f>IF(A120="","",IF(OR(U120&gt;0,Listas!$B$13&lt;&gt;"OK"),"REVISAR DADOS",IF(J120=0,"ARQUIVAR LOTE",IF(M120="Quarentena","DECIDIR LIBERAÇÃO",IF(M120="Bloqueado","SEGREGAR E INVESTIGAR",IF(M120="Esgotado","REVISAR STATUS COM SALDO",IF(N120="VENCIDO","SEGREGAR E AVALIAR DESTINAÇÃO",IF(OR(N120="CRÍTICO",N120="VENCE NA JANELA"),"PRIORIZAR FEFO","MANTER ROTAÇÃO"))))))))</x:f>
      </x:c>
      <x:c r="Q120" s="27"/>
      <x:c r="R120" s="181" t="str">
        <x:f>IF(A120="","",IF(OR(U120&gt;0,Listas!$B$13&lt;&gt;"OK"),"n.a.",IF(OR(N120="VENCIDO",N120="CRÍTICO",N120="VENCE NA JANELA",M120="Quarentena",M120="Bloqueado"),L120,0)))</x:f>
      </x:c>
      <x:c r="S120" s="163" t="str">
        <x:f>IF(COUNTA(A120:B120,D120:G120,I120,K120,M120,Q120,AB120:AD120)=0,"",IF(OR(A120="",COUNTIFS($A$5:$A$204,A120)&lt;&gt;1),"Lote ausente ou duplicado",IF(OR(B120="",COUNTIFS(Produtos!$A$5:$A$204,B120)&lt;&gt;1),"SKU ausente ou desconhecido",IF(COUNTIFS(Produtos!$A$5:$A$204,B120,Produtos!$R$5:$R$204,1)&gt;0,"Revisar cadastro do produto",IF(OR(NOT(ISNUMBER(E120)),E120&lt;=0,NOT(ISNUMBER(G120)),G120&lt;=0,G120&lt;E120),"Recebimento ou validade inválida",IF(AND(F120&lt;&gt;"",OR(NOT(ISNUMBER(F120)),F120&lt;=0,F120&gt;E120)),"Fabricação inválida ou posterior ao recebimento",IF(OR(NOT(ISNUMBER(K120)),K120&lt;0,NOT(ISNUMBER(I120)),I120&lt;0),"Quantidade recebida ou custo inválido",IF(AND(M120&lt;&gt;"Liberado",M120&lt;&gt;"Quarentena",M120&lt;&gt;"Bloqueado",M120&lt;&gt;"Esgotado"),"Status de lote inválido",""))))))))</x:f>
      </x:c>
      <x:c r="T120" s="163" t="n">
        <x:f>IF(A120="",0,COUNTIFS(Movimentacoes!$D$5:$D$304,A120,Movimentacoes!$P$5:$P$304,1))</x:f>
        <x:v>0</x:v>
      </x:c>
      <x:c r="U120" s="163" t="n">
        <x:f>IF(COUNTA(A120:B120,D120:G120,I120,K120,M120,Q120,AB120:AD120)=0,0,IF(OR(S120&lt;&gt;"",T120&gt;0),1,IF(ISNUMBER(J120),IF(OR(J120&lt;0,AND(J120&gt;0,M120="Esgotado")),1,0),0)))</x:f>
        <x:v>0</x:v>
      </x:c>
      <x:c r="V120" s="163" t="str">
        <x:f>IF(A120="","",IF(OR(U120&gt;0,Listas!$B$13&lt;&gt;"OK"),"n.a.",IF(AND(J120&gt;0,M120="Liberado",G120&gt;=Listas!$B$6),J120,0)))</x:f>
      </x:c>
      <x:c r="W120" s="163" t="str">
        <x:f>IF(A120="","",IF(OR(U120&gt;0,Listas!$B$13&lt;&gt;"OK"),"n.a.",V120*K120))</x:f>
      </x:c>
      <x:c r="X120" s="167" t="n">
        <x:f>IF(COUNTA(A120:B120,D120:G120,I120,K120,M120,Q120,AB120:AD120)=0,0,IF(OR(Listas!$B$19="Todos",B120=Listas!$B$19,COUNTIFS(Produtos!$A$5:$A$204,B120)&lt;&gt;1),1,0))</x:f>
        <x:v>0</x:v>
      </x:c>
      <x:c r="Y120" s="167" t="str">
        <x:f>IF(X120=0,"",IF(Listas!$B$13&lt;&gt;"OK","Revisar parâmetros",IF(U120&gt;0,IF(S120&lt;&gt;"",S120,IF(T120&gt;0,"Revisar movimentos",IF(AND(ISNUMBER(J120),J120&lt;0),"Saldo negativo","Status esgotado com saldo"))),IF(AG120&lt;&gt;"",AG120&amp;". ","")&amp;IF(J120&lt;=0,"",IF(N120="VENCIDO","Validade vencida. ","")&amp;IF(M120="Quarentena","Em quarentena. ","")&amp;IF(M120="Bloqueado","Lote bloqueado. ","")&amp;IF(N120="CRÍTICO","Validade crítica. ","")&amp;IF(N120="VENCE NA JANELA","Vence na janela. ","")))))</x:f>
      </x:c>
      <x:c r="Z120" s="167" t="n">
        <x:f>IF(OR(X120=0,Y120=""),0,IF(OR(Listas!$B$13&lt;&gt;"OK",U120&gt;0,AH120&gt;0),1,IF(N120="VENCIDO",2,IF(OR(M120="Quarentena",M120="Bloqueado"),3,IF(N120="CRÍTICO",4,5)))))</x:f>
        <x:v>0</x:v>
      </x:c>
      <x:c r="AA120" s="167" t="n">
        <x:f>IF(Z120=0,0,COUNTIFS($Z$5:$Z$204,"&gt;0",$Z$5:$Z$204,"&lt;"&amp;Z120,$X$5:$X$204,1)+COUNTIFS($Z$5:Z120,Z120,$X$5:X120,1))</x:f>
        <x:v>0</x:v>
      </x:c>
      <x:c r="AB120" s="168"/>
      <x:c r="AC120" s="168"/>
      <x:c r="AD120" s="169"/>
      <x:c r="AE120" s="167" t="str">
        <x:f>IF(X120=0,"",IF(OR(U120&gt;0,Listas!$B$13&lt;&gt;"OK"),"Dados pendentes",IF(J120&lt;=0,"Sem saldo",IF(N120="VENCIDO","Vencidos",IF(OR(M120="Quarentena",M120="Bloqueado"),"Restritos vigentes",IF(OR(N120="CRÍTICO",N120="VENCE NA JANELA"),"Liberados na janela","Demais liberados"))))))</x:f>
      </x:c>
      <x:c r="AF120" s="167" t="str">
        <x:f>IF(A120&lt;&gt;"",A120,IF(U120&gt;0,"Sem ID (linha "&amp;ROW()&amp;")",""))</x:f>
      </x:c>
      <x:c r="AG120" s="167" t="str">
        <x:f>IF(AD120="","",IF(OR(NOT(ISNUMBER(AD120)),AD120&lt;=0),"Prazo da ação inválido",""))</x:f>
      </x:c>
      <x:c r="AH120" s="167" t="n">
        <x:f>IF(AG120="",0,1)</x:f>
        <x:v>0</x:v>
      </x:c>
    </x:row>
    <x:row r="121" ht="32" customHeight="1">
      <x:c r="A121" s="27"/>
      <x:c r="B121" s="27"/>
      <x:c r="C121" s="40" t="str">
        <x:f>IF($B121="","",IFERROR(INDEX(Produtos!$B$5:$B$204,MATCH($B121,Produtos!$A$5:$A$204,0)),""))</x:f>
      </x:c>
      <x:c r="D121" s="170"/>
      <x:c r="E121" s="179"/>
      <x:c r="F121" s="179"/>
      <x:c r="G121" s="179"/>
      <x:c r="H121" s="40" t="str">
        <x:f>IF(A121="","",IF(OR(S121&lt;&gt;"",Listas!$B$13&lt;&gt;"OK"),"n.a.",G121-Listas!$B$6))</x:f>
      </x:c>
      <x:c r="I121" s="40"/>
      <x:c r="J121" s="40" t="str">
        <x:f>IF(A121="","",IF(OR(S121&lt;&gt;"",T121&gt;0,Listas!$B$13&lt;&gt;"OK"),"n.a.",SUMIFS(Movimentacoes!$H$5:$H$304,Movimentacoes!$D$5:$D$304,A121,Movimentacoes!$B$5:$B$304,"&lt;="&amp;Listas!$B$6)))</x:f>
      </x:c>
      <x:c r="K121" s="180"/>
      <x:c r="L121" s="181" t="str">
        <x:f>IF(A121="","",IF(OR(U121&gt;0,Listas!$B$13&lt;&gt;"OK"),"n.a.",J121*K121))</x:f>
      </x:c>
      <x:c r="M121" s="27"/>
      <x:c r="N121" s="40" t="str">
        <x:f>IF(A121="","",IF(OR(U121&gt;0,Listas!$B$13&lt;&gt;"OK"),"REVISAR DADOS",IF(J121=0,"SEM SALDO",IF(G121&lt;Listas!$B$6,"VENCIDO",IF(H121&lt;=Listas!$B$7,"CRÍTICO",IF(H121&lt;=Listas!$B$8,"VENCE NA JANELA","OK"))))))</x:f>
      </x:c>
      <x:c r="O121" s="41" t="str">
        <x:f>IF(A121="","",IF(AND(ISNUMBER(V121),V121&gt;0),G121,""))</x:f>
      </x:c>
      <x:c r="P121" s="40" t="str">
        <x:f>IF(A121="","",IF(OR(U121&gt;0,Listas!$B$13&lt;&gt;"OK"),"REVISAR DADOS",IF(J121=0,"ARQUIVAR LOTE",IF(M121="Quarentena","DECIDIR LIBERAÇÃO",IF(M121="Bloqueado","SEGREGAR E INVESTIGAR",IF(M121="Esgotado","REVISAR STATUS COM SALDO",IF(N121="VENCIDO","SEGREGAR E AVALIAR DESTINAÇÃO",IF(OR(N121="CRÍTICO",N121="VENCE NA JANELA"),"PRIORIZAR FEFO","MANTER ROTAÇÃO"))))))))</x:f>
      </x:c>
      <x:c r="Q121" s="27"/>
      <x:c r="R121" s="181" t="str">
        <x:f>IF(A121="","",IF(OR(U121&gt;0,Listas!$B$13&lt;&gt;"OK"),"n.a.",IF(OR(N121="VENCIDO",N121="CRÍTICO",N121="VENCE NA JANELA",M121="Quarentena",M121="Bloqueado"),L121,0)))</x:f>
      </x:c>
      <x:c r="S121" s="163" t="str">
        <x:f>IF(COUNTA(A121:B121,D121:G121,I121,K121,M121,Q121,AB121:AD121)=0,"",IF(OR(A121="",COUNTIFS($A$5:$A$204,A121)&lt;&gt;1),"Lote ausente ou duplicado",IF(OR(B121="",COUNTIFS(Produtos!$A$5:$A$204,B121)&lt;&gt;1),"SKU ausente ou desconhecido",IF(COUNTIFS(Produtos!$A$5:$A$204,B121,Produtos!$R$5:$R$204,1)&gt;0,"Revisar cadastro do produto",IF(OR(NOT(ISNUMBER(E121)),E121&lt;=0,NOT(ISNUMBER(G121)),G121&lt;=0,G121&lt;E121),"Recebimento ou validade inválida",IF(AND(F121&lt;&gt;"",OR(NOT(ISNUMBER(F121)),F121&lt;=0,F121&gt;E121)),"Fabricação inválida ou posterior ao recebimento",IF(OR(NOT(ISNUMBER(K121)),K121&lt;0,NOT(ISNUMBER(I121)),I121&lt;0),"Quantidade recebida ou custo inválido",IF(AND(M121&lt;&gt;"Liberado",M121&lt;&gt;"Quarentena",M121&lt;&gt;"Bloqueado",M121&lt;&gt;"Esgotado"),"Status de lote inválido",""))))))))</x:f>
      </x:c>
      <x:c r="T121" s="163" t="n">
        <x:f>IF(A121="",0,COUNTIFS(Movimentacoes!$D$5:$D$304,A121,Movimentacoes!$P$5:$P$304,1))</x:f>
        <x:v>0</x:v>
      </x:c>
      <x:c r="U121" s="163" t="n">
        <x:f>IF(COUNTA(A121:B121,D121:G121,I121,K121,M121,Q121,AB121:AD121)=0,0,IF(OR(S121&lt;&gt;"",T121&gt;0),1,IF(ISNUMBER(J121),IF(OR(J121&lt;0,AND(J121&gt;0,M121="Esgotado")),1,0),0)))</x:f>
        <x:v>0</x:v>
      </x:c>
      <x:c r="V121" s="163" t="str">
        <x:f>IF(A121="","",IF(OR(U121&gt;0,Listas!$B$13&lt;&gt;"OK"),"n.a.",IF(AND(J121&gt;0,M121="Liberado",G121&gt;=Listas!$B$6),J121,0)))</x:f>
      </x:c>
      <x:c r="W121" s="163" t="str">
        <x:f>IF(A121="","",IF(OR(U121&gt;0,Listas!$B$13&lt;&gt;"OK"),"n.a.",V121*K121))</x:f>
      </x:c>
      <x:c r="X121" s="167" t="n">
        <x:f>IF(COUNTA(A121:B121,D121:G121,I121,K121,M121,Q121,AB121:AD121)=0,0,IF(OR(Listas!$B$19="Todos",B121=Listas!$B$19,COUNTIFS(Produtos!$A$5:$A$204,B121)&lt;&gt;1),1,0))</x:f>
        <x:v>0</x:v>
      </x:c>
      <x:c r="Y121" s="167" t="str">
        <x:f>IF(X121=0,"",IF(Listas!$B$13&lt;&gt;"OK","Revisar parâmetros",IF(U121&gt;0,IF(S121&lt;&gt;"",S121,IF(T121&gt;0,"Revisar movimentos",IF(AND(ISNUMBER(J121),J121&lt;0),"Saldo negativo","Status esgotado com saldo"))),IF(AG121&lt;&gt;"",AG121&amp;". ","")&amp;IF(J121&lt;=0,"",IF(N121="VENCIDO","Validade vencida. ","")&amp;IF(M121="Quarentena","Em quarentena. ","")&amp;IF(M121="Bloqueado","Lote bloqueado. ","")&amp;IF(N121="CRÍTICO","Validade crítica. ","")&amp;IF(N121="VENCE NA JANELA","Vence na janela. ","")))))</x:f>
      </x:c>
      <x:c r="Z121" s="167" t="n">
        <x:f>IF(OR(X121=0,Y121=""),0,IF(OR(Listas!$B$13&lt;&gt;"OK",U121&gt;0,AH121&gt;0),1,IF(N121="VENCIDO",2,IF(OR(M121="Quarentena",M121="Bloqueado"),3,IF(N121="CRÍTICO",4,5)))))</x:f>
        <x:v>0</x:v>
      </x:c>
      <x:c r="AA121" s="167" t="n">
        <x:f>IF(Z121=0,0,COUNTIFS($Z$5:$Z$204,"&gt;0",$Z$5:$Z$204,"&lt;"&amp;Z121,$X$5:$X$204,1)+COUNTIFS($Z$5:Z121,Z121,$X$5:X121,1))</x:f>
        <x:v>0</x:v>
      </x:c>
      <x:c r="AB121" s="168"/>
      <x:c r="AC121" s="168"/>
      <x:c r="AD121" s="169"/>
      <x:c r="AE121" s="167" t="str">
        <x:f>IF(X121=0,"",IF(OR(U121&gt;0,Listas!$B$13&lt;&gt;"OK"),"Dados pendentes",IF(J121&lt;=0,"Sem saldo",IF(N121="VENCIDO","Vencidos",IF(OR(M121="Quarentena",M121="Bloqueado"),"Restritos vigentes",IF(OR(N121="CRÍTICO",N121="VENCE NA JANELA"),"Liberados na janela","Demais liberados"))))))</x:f>
      </x:c>
      <x:c r="AF121" s="167" t="str">
        <x:f>IF(A121&lt;&gt;"",A121,IF(U121&gt;0,"Sem ID (linha "&amp;ROW()&amp;")",""))</x:f>
      </x:c>
      <x:c r="AG121" s="167" t="str">
        <x:f>IF(AD121="","",IF(OR(NOT(ISNUMBER(AD121)),AD121&lt;=0),"Prazo da ação inválido",""))</x:f>
      </x:c>
      <x:c r="AH121" s="167" t="n">
        <x:f>IF(AG121="",0,1)</x:f>
        <x:v>0</x:v>
      </x:c>
    </x:row>
    <x:row r="122" ht="32" customHeight="1">
      <x:c r="A122" s="27"/>
      <x:c r="B122" s="27"/>
      <x:c r="C122" s="40" t="str">
        <x:f>IF($B122="","",IFERROR(INDEX(Produtos!$B$5:$B$204,MATCH($B122,Produtos!$A$5:$A$204,0)),""))</x:f>
      </x:c>
      <x:c r="D122" s="170"/>
      <x:c r="E122" s="179"/>
      <x:c r="F122" s="179"/>
      <x:c r="G122" s="179"/>
      <x:c r="H122" s="40" t="str">
        <x:f>IF(A122="","",IF(OR(S122&lt;&gt;"",Listas!$B$13&lt;&gt;"OK"),"n.a.",G122-Listas!$B$6))</x:f>
      </x:c>
      <x:c r="I122" s="40"/>
      <x:c r="J122" s="40" t="str">
        <x:f>IF(A122="","",IF(OR(S122&lt;&gt;"",T122&gt;0,Listas!$B$13&lt;&gt;"OK"),"n.a.",SUMIFS(Movimentacoes!$H$5:$H$304,Movimentacoes!$D$5:$D$304,A122,Movimentacoes!$B$5:$B$304,"&lt;="&amp;Listas!$B$6)))</x:f>
      </x:c>
      <x:c r="K122" s="180"/>
      <x:c r="L122" s="181" t="str">
        <x:f>IF(A122="","",IF(OR(U122&gt;0,Listas!$B$13&lt;&gt;"OK"),"n.a.",J122*K122))</x:f>
      </x:c>
      <x:c r="M122" s="27"/>
      <x:c r="N122" s="40" t="str">
        <x:f>IF(A122="","",IF(OR(U122&gt;0,Listas!$B$13&lt;&gt;"OK"),"REVISAR DADOS",IF(J122=0,"SEM SALDO",IF(G122&lt;Listas!$B$6,"VENCIDO",IF(H122&lt;=Listas!$B$7,"CRÍTICO",IF(H122&lt;=Listas!$B$8,"VENCE NA JANELA","OK"))))))</x:f>
      </x:c>
      <x:c r="O122" s="41" t="str">
        <x:f>IF(A122="","",IF(AND(ISNUMBER(V122),V122&gt;0),G122,""))</x:f>
      </x:c>
      <x:c r="P122" s="40" t="str">
        <x:f>IF(A122="","",IF(OR(U122&gt;0,Listas!$B$13&lt;&gt;"OK"),"REVISAR DADOS",IF(J122=0,"ARQUIVAR LOTE",IF(M122="Quarentena","DECIDIR LIBERAÇÃO",IF(M122="Bloqueado","SEGREGAR E INVESTIGAR",IF(M122="Esgotado","REVISAR STATUS COM SALDO",IF(N122="VENCIDO","SEGREGAR E AVALIAR DESTINAÇÃO",IF(OR(N122="CRÍTICO",N122="VENCE NA JANELA"),"PRIORIZAR FEFO","MANTER ROTAÇÃO"))))))))</x:f>
      </x:c>
      <x:c r="Q122" s="27"/>
      <x:c r="R122" s="181" t="str">
        <x:f>IF(A122="","",IF(OR(U122&gt;0,Listas!$B$13&lt;&gt;"OK"),"n.a.",IF(OR(N122="VENCIDO",N122="CRÍTICO",N122="VENCE NA JANELA",M122="Quarentena",M122="Bloqueado"),L122,0)))</x:f>
      </x:c>
      <x:c r="S122" s="163" t="str">
        <x:f>IF(COUNTA(A122:B122,D122:G122,I122,K122,M122,Q122,AB122:AD122)=0,"",IF(OR(A122="",COUNTIFS($A$5:$A$204,A122)&lt;&gt;1),"Lote ausente ou duplicado",IF(OR(B122="",COUNTIFS(Produtos!$A$5:$A$204,B122)&lt;&gt;1),"SKU ausente ou desconhecido",IF(COUNTIFS(Produtos!$A$5:$A$204,B122,Produtos!$R$5:$R$204,1)&gt;0,"Revisar cadastro do produto",IF(OR(NOT(ISNUMBER(E122)),E122&lt;=0,NOT(ISNUMBER(G122)),G122&lt;=0,G122&lt;E122),"Recebimento ou validade inválida",IF(AND(F122&lt;&gt;"",OR(NOT(ISNUMBER(F122)),F122&lt;=0,F122&gt;E122)),"Fabricação inválida ou posterior ao recebimento",IF(OR(NOT(ISNUMBER(K122)),K122&lt;0,NOT(ISNUMBER(I122)),I122&lt;0),"Quantidade recebida ou custo inválido",IF(AND(M122&lt;&gt;"Liberado",M122&lt;&gt;"Quarentena",M122&lt;&gt;"Bloqueado",M122&lt;&gt;"Esgotado"),"Status de lote inválido",""))))))))</x:f>
      </x:c>
      <x:c r="T122" s="163" t="n">
        <x:f>IF(A122="",0,COUNTIFS(Movimentacoes!$D$5:$D$304,A122,Movimentacoes!$P$5:$P$304,1))</x:f>
        <x:v>0</x:v>
      </x:c>
      <x:c r="U122" s="163" t="n">
        <x:f>IF(COUNTA(A122:B122,D122:G122,I122,K122,M122,Q122,AB122:AD122)=0,0,IF(OR(S122&lt;&gt;"",T122&gt;0),1,IF(ISNUMBER(J122),IF(OR(J122&lt;0,AND(J122&gt;0,M122="Esgotado")),1,0),0)))</x:f>
        <x:v>0</x:v>
      </x:c>
      <x:c r="V122" s="163" t="str">
        <x:f>IF(A122="","",IF(OR(U122&gt;0,Listas!$B$13&lt;&gt;"OK"),"n.a.",IF(AND(J122&gt;0,M122="Liberado",G122&gt;=Listas!$B$6),J122,0)))</x:f>
      </x:c>
      <x:c r="W122" s="163" t="str">
        <x:f>IF(A122="","",IF(OR(U122&gt;0,Listas!$B$13&lt;&gt;"OK"),"n.a.",V122*K122))</x:f>
      </x:c>
      <x:c r="X122" s="167" t="n">
        <x:f>IF(COUNTA(A122:B122,D122:G122,I122,K122,M122,Q122,AB122:AD122)=0,0,IF(OR(Listas!$B$19="Todos",B122=Listas!$B$19,COUNTIFS(Produtos!$A$5:$A$204,B122)&lt;&gt;1),1,0))</x:f>
        <x:v>0</x:v>
      </x:c>
      <x:c r="Y122" s="167" t="str">
        <x:f>IF(X122=0,"",IF(Listas!$B$13&lt;&gt;"OK","Revisar parâmetros",IF(U122&gt;0,IF(S122&lt;&gt;"",S122,IF(T122&gt;0,"Revisar movimentos",IF(AND(ISNUMBER(J122),J122&lt;0),"Saldo negativo","Status esgotado com saldo"))),IF(AG122&lt;&gt;"",AG122&amp;". ","")&amp;IF(J122&lt;=0,"",IF(N122="VENCIDO","Validade vencida. ","")&amp;IF(M122="Quarentena","Em quarentena. ","")&amp;IF(M122="Bloqueado","Lote bloqueado. ","")&amp;IF(N122="CRÍTICO","Validade crítica. ","")&amp;IF(N122="VENCE NA JANELA","Vence na janela. ","")))))</x:f>
      </x:c>
      <x:c r="Z122" s="167" t="n">
        <x:f>IF(OR(X122=0,Y122=""),0,IF(OR(Listas!$B$13&lt;&gt;"OK",U122&gt;0,AH122&gt;0),1,IF(N122="VENCIDO",2,IF(OR(M122="Quarentena",M122="Bloqueado"),3,IF(N122="CRÍTICO",4,5)))))</x:f>
        <x:v>0</x:v>
      </x:c>
      <x:c r="AA122" s="167" t="n">
        <x:f>IF(Z122=0,0,COUNTIFS($Z$5:$Z$204,"&gt;0",$Z$5:$Z$204,"&lt;"&amp;Z122,$X$5:$X$204,1)+COUNTIFS($Z$5:Z122,Z122,$X$5:X122,1))</x:f>
        <x:v>0</x:v>
      </x:c>
      <x:c r="AB122" s="168"/>
      <x:c r="AC122" s="168"/>
      <x:c r="AD122" s="169"/>
      <x:c r="AE122" s="167" t="str">
        <x:f>IF(X122=0,"",IF(OR(U122&gt;0,Listas!$B$13&lt;&gt;"OK"),"Dados pendentes",IF(J122&lt;=0,"Sem saldo",IF(N122="VENCIDO","Vencidos",IF(OR(M122="Quarentena",M122="Bloqueado"),"Restritos vigentes",IF(OR(N122="CRÍTICO",N122="VENCE NA JANELA"),"Liberados na janela","Demais liberados"))))))</x:f>
      </x:c>
      <x:c r="AF122" s="167" t="str">
        <x:f>IF(A122&lt;&gt;"",A122,IF(U122&gt;0,"Sem ID (linha "&amp;ROW()&amp;")",""))</x:f>
      </x:c>
      <x:c r="AG122" s="167" t="str">
        <x:f>IF(AD122="","",IF(OR(NOT(ISNUMBER(AD122)),AD122&lt;=0),"Prazo da ação inválido",""))</x:f>
      </x:c>
      <x:c r="AH122" s="167" t="n">
        <x:f>IF(AG122="",0,1)</x:f>
        <x:v>0</x:v>
      </x:c>
    </x:row>
    <x:row r="123" ht="32" customHeight="1">
      <x:c r="A123" s="27"/>
      <x:c r="B123" s="27"/>
      <x:c r="C123" s="40" t="str">
        <x:f>IF($B123="","",IFERROR(INDEX(Produtos!$B$5:$B$204,MATCH($B123,Produtos!$A$5:$A$204,0)),""))</x:f>
      </x:c>
      <x:c r="D123" s="170"/>
      <x:c r="E123" s="179"/>
      <x:c r="F123" s="179"/>
      <x:c r="G123" s="179"/>
      <x:c r="H123" s="40" t="str">
        <x:f>IF(A123="","",IF(OR(S123&lt;&gt;"",Listas!$B$13&lt;&gt;"OK"),"n.a.",G123-Listas!$B$6))</x:f>
      </x:c>
      <x:c r="I123" s="40"/>
      <x:c r="J123" s="40" t="str">
        <x:f>IF(A123="","",IF(OR(S123&lt;&gt;"",T123&gt;0,Listas!$B$13&lt;&gt;"OK"),"n.a.",SUMIFS(Movimentacoes!$H$5:$H$304,Movimentacoes!$D$5:$D$304,A123,Movimentacoes!$B$5:$B$304,"&lt;="&amp;Listas!$B$6)))</x:f>
      </x:c>
      <x:c r="K123" s="180"/>
      <x:c r="L123" s="181" t="str">
        <x:f>IF(A123="","",IF(OR(U123&gt;0,Listas!$B$13&lt;&gt;"OK"),"n.a.",J123*K123))</x:f>
      </x:c>
      <x:c r="M123" s="27"/>
      <x:c r="N123" s="40" t="str">
        <x:f>IF(A123="","",IF(OR(U123&gt;0,Listas!$B$13&lt;&gt;"OK"),"REVISAR DADOS",IF(J123=0,"SEM SALDO",IF(G123&lt;Listas!$B$6,"VENCIDO",IF(H123&lt;=Listas!$B$7,"CRÍTICO",IF(H123&lt;=Listas!$B$8,"VENCE NA JANELA","OK"))))))</x:f>
      </x:c>
      <x:c r="O123" s="41" t="str">
        <x:f>IF(A123="","",IF(AND(ISNUMBER(V123),V123&gt;0),G123,""))</x:f>
      </x:c>
      <x:c r="P123" s="40" t="str">
        <x:f>IF(A123="","",IF(OR(U123&gt;0,Listas!$B$13&lt;&gt;"OK"),"REVISAR DADOS",IF(J123=0,"ARQUIVAR LOTE",IF(M123="Quarentena","DECIDIR LIBERAÇÃO",IF(M123="Bloqueado","SEGREGAR E INVESTIGAR",IF(M123="Esgotado","REVISAR STATUS COM SALDO",IF(N123="VENCIDO","SEGREGAR E AVALIAR DESTINAÇÃO",IF(OR(N123="CRÍTICO",N123="VENCE NA JANELA"),"PRIORIZAR FEFO","MANTER ROTAÇÃO"))))))))</x:f>
      </x:c>
      <x:c r="Q123" s="27"/>
      <x:c r="R123" s="181" t="str">
        <x:f>IF(A123="","",IF(OR(U123&gt;0,Listas!$B$13&lt;&gt;"OK"),"n.a.",IF(OR(N123="VENCIDO",N123="CRÍTICO",N123="VENCE NA JANELA",M123="Quarentena",M123="Bloqueado"),L123,0)))</x:f>
      </x:c>
      <x:c r="S123" s="163" t="str">
        <x:f>IF(COUNTA(A123:B123,D123:G123,I123,K123,M123,Q123,AB123:AD123)=0,"",IF(OR(A123="",COUNTIFS($A$5:$A$204,A123)&lt;&gt;1),"Lote ausente ou duplicado",IF(OR(B123="",COUNTIFS(Produtos!$A$5:$A$204,B123)&lt;&gt;1),"SKU ausente ou desconhecido",IF(COUNTIFS(Produtos!$A$5:$A$204,B123,Produtos!$R$5:$R$204,1)&gt;0,"Revisar cadastro do produto",IF(OR(NOT(ISNUMBER(E123)),E123&lt;=0,NOT(ISNUMBER(G123)),G123&lt;=0,G123&lt;E123),"Recebimento ou validade inválida",IF(AND(F123&lt;&gt;"",OR(NOT(ISNUMBER(F123)),F123&lt;=0,F123&gt;E123)),"Fabricação inválida ou posterior ao recebimento",IF(OR(NOT(ISNUMBER(K123)),K123&lt;0,NOT(ISNUMBER(I123)),I123&lt;0),"Quantidade recebida ou custo inválido",IF(AND(M123&lt;&gt;"Liberado",M123&lt;&gt;"Quarentena",M123&lt;&gt;"Bloqueado",M123&lt;&gt;"Esgotado"),"Status de lote inválido",""))))))))</x:f>
      </x:c>
      <x:c r="T123" s="163" t="n">
        <x:f>IF(A123="",0,COUNTIFS(Movimentacoes!$D$5:$D$304,A123,Movimentacoes!$P$5:$P$304,1))</x:f>
        <x:v>0</x:v>
      </x:c>
      <x:c r="U123" s="163" t="n">
        <x:f>IF(COUNTA(A123:B123,D123:G123,I123,K123,M123,Q123,AB123:AD123)=0,0,IF(OR(S123&lt;&gt;"",T123&gt;0),1,IF(ISNUMBER(J123),IF(OR(J123&lt;0,AND(J123&gt;0,M123="Esgotado")),1,0),0)))</x:f>
        <x:v>0</x:v>
      </x:c>
      <x:c r="V123" s="163" t="str">
        <x:f>IF(A123="","",IF(OR(U123&gt;0,Listas!$B$13&lt;&gt;"OK"),"n.a.",IF(AND(J123&gt;0,M123="Liberado",G123&gt;=Listas!$B$6),J123,0)))</x:f>
      </x:c>
      <x:c r="W123" s="163" t="str">
        <x:f>IF(A123="","",IF(OR(U123&gt;0,Listas!$B$13&lt;&gt;"OK"),"n.a.",V123*K123))</x:f>
      </x:c>
      <x:c r="X123" s="167" t="n">
        <x:f>IF(COUNTA(A123:B123,D123:G123,I123,K123,M123,Q123,AB123:AD123)=0,0,IF(OR(Listas!$B$19="Todos",B123=Listas!$B$19,COUNTIFS(Produtos!$A$5:$A$204,B123)&lt;&gt;1),1,0))</x:f>
        <x:v>0</x:v>
      </x:c>
      <x:c r="Y123" s="167" t="str">
        <x:f>IF(X123=0,"",IF(Listas!$B$13&lt;&gt;"OK","Revisar parâmetros",IF(U123&gt;0,IF(S123&lt;&gt;"",S123,IF(T123&gt;0,"Revisar movimentos",IF(AND(ISNUMBER(J123),J123&lt;0),"Saldo negativo","Status esgotado com saldo"))),IF(AG123&lt;&gt;"",AG123&amp;". ","")&amp;IF(J123&lt;=0,"",IF(N123="VENCIDO","Validade vencida. ","")&amp;IF(M123="Quarentena","Em quarentena. ","")&amp;IF(M123="Bloqueado","Lote bloqueado. ","")&amp;IF(N123="CRÍTICO","Validade crítica. ","")&amp;IF(N123="VENCE NA JANELA","Vence na janela. ","")))))</x:f>
      </x:c>
      <x:c r="Z123" s="167" t="n">
        <x:f>IF(OR(X123=0,Y123=""),0,IF(OR(Listas!$B$13&lt;&gt;"OK",U123&gt;0,AH123&gt;0),1,IF(N123="VENCIDO",2,IF(OR(M123="Quarentena",M123="Bloqueado"),3,IF(N123="CRÍTICO",4,5)))))</x:f>
        <x:v>0</x:v>
      </x:c>
      <x:c r="AA123" s="167" t="n">
        <x:f>IF(Z123=0,0,COUNTIFS($Z$5:$Z$204,"&gt;0",$Z$5:$Z$204,"&lt;"&amp;Z123,$X$5:$X$204,1)+COUNTIFS($Z$5:Z123,Z123,$X$5:X123,1))</x:f>
        <x:v>0</x:v>
      </x:c>
      <x:c r="AB123" s="168"/>
      <x:c r="AC123" s="168"/>
      <x:c r="AD123" s="169"/>
      <x:c r="AE123" s="167" t="str">
        <x:f>IF(X123=0,"",IF(OR(U123&gt;0,Listas!$B$13&lt;&gt;"OK"),"Dados pendentes",IF(J123&lt;=0,"Sem saldo",IF(N123="VENCIDO","Vencidos",IF(OR(M123="Quarentena",M123="Bloqueado"),"Restritos vigentes",IF(OR(N123="CRÍTICO",N123="VENCE NA JANELA"),"Liberados na janela","Demais liberados"))))))</x:f>
      </x:c>
      <x:c r="AF123" s="167" t="str">
        <x:f>IF(A123&lt;&gt;"",A123,IF(U123&gt;0,"Sem ID (linha "&amp;ROW()&amp;")",""))</x:f>
      </x:c>
      <x:c r="AG123" s="167" t="str">
        <x:f>IF(AD123="","",IF(OR(NOT(ISNUMBER(AD123)),AD123&lt;=0),"Prazo da ação inválido",""))</x:f>
      </x:c>
      <x:c r="AH123" s="167" t="n">
        <x:f>IF(AG123="",0,1)</x:f>
        <x:v>0</x:v>
      </x:c>
    </x:row>
    <x:row r="124" ht="32" customHeight="1">
      <x:c r="A124" s="27"/>
      <x:c r="B124" s="27"/>
      <x:c r="C124" s="40" t="str">
        <x:f>IF($B124="","",IFERROR(INDEX(Produtos!$B$5:$B$204,MATCH($B124,Produtos!$A$5:$A$204,0)),""))</x:f>
      </x:c>
      <x:c r="D124" s="170"/>
      <x:c r="E124" s="179"/>
      <x:c r="F124" s="179"/>
      <x:c r="G124" s="179"/>
      <x:c r="H124" s="40" t="str">
        <x:f>IF(A124="","",IF(OR(S124&lt;&gt;"",Listas!$B$13&lt;&gt;"OK"),"n.a.",G124-Listas!$B$6))</x:f>
      </x:c>
      <x:c r="I124" s="40"/>
      <x:c r="J124" s="40" t="str">
        <x:f>IF(A124="","",IF(OR(S124&lt;&gt;"",T124&gt;0,Listas!$B$13&lt;&gt;"OK"),"n.a.",SUMIFS(Movimentacoes!$H$5:$H$304,Movimentacoes!$D$5:$D$304,A124,Movimentacoes!$B$5:$B$304,"&lt;="&amp;Listas!$B$6)))</x:f>
      </x:c>
      <x:c r="K124" s="180"/>
      <x:c r="L124" s="181" t="str">
        <x:f>IF(A124="","",IF(OR(U124&gt;0,Listas!$B$13&lt;&gt;"OK"),"n.a.",J124*K124))</x:f>
      </x:c>
      <x:c r="M124" s="27"/>
      <x:c r="N124" s="40" t="str">
        <x:f>IF(A124="","",IF(OR(U124&gt;0,Listas!$B$13&lt;&gt;"OK"),"REVISAR DADOS",IF(J124=0,"SEM SALDO",IF(G124&lt;Listas!$B$6,"VENCIDO",IF(H124&lt;=Listas!$B$7,"CRÍTICO",IF(H124&lt;=Listas!$B$8,"VENCE NA JANELA","OK"))))))</x:f>
      </x:c>
      <x:c r="O124" s="41" t="str">
        <x:f>IF(A124="","",IF(AND(ISNUMBER(V124),V124&gt;0),G124,""))</x:f>
      </x:c>
      <x:c r="P124" s="40" t="str">
        <x:f>IF(A124="","",IF(OR(U124&gt;0,Listas!$B$13&lt;&gt;"OK"),"REVISAR DADOS",IF(J124=0,"ARQUIVAR LOTE",IF(M124="Quarentena","DECIDIR LIBERAÇÃO",IF(M124="Bloqueado","SEGREGAR E INVESTIGAR",IF(M124="Esgotado","REVISAR STATUS COM SALDO",IF(N124="VENCIDO","SEGREGAR E AVALIAR DESTINAÇÃO",IF(OR(N124="CRÍTICO",N124="VENCE NA JANELA"),"PRIORIZAR FEFO","MANTER ROTAÇÃO"))))))))</x:f>
      </x:c>
      <x:c r="Q124" s="27"/>
      <x:c r="R124" s="181" t="str">
        <x:f>IF(A124="","",IF(OR(U124&gt;0,Listas!$B$13&lt;&gt;"OK"),"n.a.",IF(OR(N124="VENCIDO",N124="CRÍTICO",N124="VENCE NA JANELA",M124="Quarentena",M124="Bloqueado"),L124,0)))</x:f>
      </x:c>
      <x:c r="S124" s="163" t="str">
        <x:f>IF(COUNTA(A124:B124,D124:G124,I124,K124,M124,Q124,AB124:AD124)=0,"",IF(OR(A124="",COUNTIFS($A$5:$A$204,A124)&lt;&gt;1),"Lote ausente ou duplicado",IF(OR(B124="",COUNTIFS(Produtos!$A$5:$A$204,B124)&lt;&gt;1),"SKU ausente ou desconhecido",IF(COUNTIFS(Produtos!$A$5:$A$204,B124,Produtos!$R$5:$R$204,1)&gt;0,"Revisar cadastro do produto",IF(OR(NOT(ISNUMBER(E124)),E124&lt;=0,NOT(ISNUMBER(G124)),G124&lt;=0,G124&lt;E124),"Recebimento ou validade inválida",IF(AND(F124&lt;&gt;"",OR(NOT(ISNUMBER(F124)),F124&lt;=0,F124&gt;E124)),"Fabricação inválida ou posterior ao recebimento",IF(OR(NOT(ISNUMBER(K124)),K124&lt;0,NOT(ISNUMBER(I124)),I124&lt;0),"Quantidade recebida ou custo inválido",IF(AND(M124&lt;&gt;"Liberado",M124&lt;&gt;"Quarentena",M124&lt;&gt;"Bloqueado",M124&lt;&gt;"Esgotado"),"Status de lote inválido",""))))))))</x:f>
      </x:c>
      <x:c r="T124" s="163" t="n">
        <x:f>IF(A124="",0,COUNTIFS(Movimentacoes!$D$5:$D$304,A124,Movimentacoes!$P$5:$P$304,1))</x:f>
        <x:v>0</x:v>
      </x:c>
      <x:c r="U124" s="163" t="n">
        <x:f>IF(COUNTA(A124:B124,D124:G124,I124,K124,M124,Q124,AB124:AD124)=0,0,IF(OR(S124&lt;&gt;"",T124&gt;0),1,IF(ISNUMBER(J124),IF(OR(J124&lt;0,AND(J124&gt;0,M124="Esgotado")),1,0),0)))</x:f>
        <x:v>0</x:v>
      </x:c>
      <x:c r="V124" s="163" t="str">
        <x:f>IF(A124="","",IF(OR(U124&gt;0,Listas!$B$13&lt;&gt;"OK"),"n.a.",IF(AND(J124&gt;0,M124="Liberado",G124&gt;=Listas!$B$6),J124,0)))</x:f>
      </x:c>
      <x:c r="W124" s="163" t="str">
        <x:f>IF(A124="","",IF(OR(U124&gt;0,Listas!$B$13&lt;&gt;"OK"),"n.a.",V124*K124))</x:f>
      </x:c>
      <x:c r="X124" s="167" t="n">
        <x:f>IF(COUNTA(A124:B124,D124:G124,I124,K124,M124,Q124,AB124:AD124)=0,0,IF(OR(Listas!$B$19="Todos",B124=Listas!$B$19,COUNTIFS(Produtos!$A$5:$A$204,B124)&lt;&gt;1),1,0))</x:f>
        <x:v>0</x:v>
      </x:c>
      <x:c r="Y124" s="167" t="str">
        <x:f>IF(X124=0,"",IF(Listas!$B$13&lt;&gt;"OK","Revisar parâmetros",IF(U124&gt;0,IF(S124&lt;&gt;"",S124,IF(T124&gt;0,"Revisar movimentos",IF(AND(ISNUMBER(J124),J124&lt;0),"Saldo negativo","Status esgotado com saldo"))),IF(AG124&lt;&gt;"",AG124&amp;". ","")&amp;IF(J124&lt;=0,"",IF(N124="VENCIDO","Validade vencida. ","")&amp;IF(M124="Quarentena","Em quarentena. ","")&amp;IF(M124="Bloqueado","Lote bloqueado. ","")&amp;IF(N124="CRÍTICO","Validade crítica. ","")&amp;IF(N124="VENCE NA JANELA","Vence na janela. ","")))))</x:f>
      </x:c>
      <x:c r="Z124" s="167" t="n">
        <x:f>IF(OR(X124=0,Y124=""),0,IF(OR(Listas!$B$13&lt;&gt;"OK",U124&gt;0,AH124&gt;0),1,IF(N124="VENCIDO",2,IF(OR(M124="Quarentena",M124="Bloqueado"),3,IF(N124="CRÍTICO",4,5)))))</x:f>
        <x:v>0</x:v>
      </x:c>
      <x:c r="AA124" s="167" t="n">
        <x:f>IF(Z124=0,0,COUNTIFS($Z$5:$Z$204,"&gt;0",$Z$5:$Z$204,"&lt;"&amp;Z124,$X$5:$X$204,1)+COUNTIFS($Z$5:Z124,Z124,$X$5:X124,1))</x:f>
        <x:v>0</x:v>
      </x:c>
      <x:c r="AB124" s="168"/>
      <x:c r="AC124" s="168"/>
      <x:c r="AD124" s="169"/>
      <x:c r="AE124" s="167" t="str">
        <x:f>IF(X124=0,"",IF(OR(U124&gt;0,Listas!$B$13&lt;&gt;"OK"),"Dados pendentes",IF(J124&lt;=0,"Sem saldo",IF(N124="VENCIDO","Vencidos",IF(OR(M124="Quarentena",M124="Bloqueado"),"Restritos vigentes",IF(OR(N124="CRÍTICO",N124="VENCE NA JANELA"),"Liberados na janela","Demais liberados"))))))</x:f>
      </x:c>
      <x:c r="AF124" s="167" t="str">
        <x:f>IF(A124&lt;&gt;"",A124,IF(U124&gt;0,"Sem ID (linha "&amp;ROW()&amp;")",""))</x:f>
      </x:c>
      <x:c r="AG124" s="167" t="str">
        <x:f>IF(AD124="","",IF(OR(NOT(ISNUMBER(AD124)),AD124&lt;=0),"Prazo da ação inválido",""))</x:f>
      </x:c>
      <x:c r="AH124" s="167" t="n">
        <x:f>IF(AG124="",0,1)</x:f>
        <x:v>0</x:v>
      </x:c>
    </x:row>
    <x:row r="125" ht="32" customHeight="1">
      <x:c r="A125" s="27"/>
      <x:c r="B125" s="27"/>
      <x:c r="C125" s="40" t="str">
        <x:f>IF($B125="","",IFERROR(INDEX(Produtos!$B$5:$B$204,MATCH($B125,Produtos!$A$5:$A$204,0)),""))</x:f>
      </x:c>
      <x:c r="D125" s="170"/>
      <x:c r="E125" s="179"/>
      <x:c r="F125" s="179"/>
      <x:c r="G125" s="179"/>
      <x:c r="H125" s="40" t="str">
        <x:f>IF(A125="","",IF(OR(S125&lt;&gt;"",Listas!$B$13&lt;&gt;"OK"),"n.a.",G125-Listas!$B$6))</x:f>
      </x:c>
      <x:c r="I125" s="40"/>
      <x:c r="J125" s="40" t="str">
        <x:f>IF(A125="","",IF(OR(S125&lt;&gt;"",T125&gt;0,Listas!$B$13&lt;&gt;"OK"),"n.a.",SUMIFS(Movimentacoes!$H$5:$H$304,Movimentacoes!$D$5:$D$304,A125,Movimentacoes!$B$5:$B$304,"&lt;="&amp;Listas!$B$6)))</x:f>
      </x:c>
      <x:c r="K125" s="180"/>
      <x:c r="L125" s="181" t="str">
        <x:f>IF(A125="","",IF(OR(U125&gt;0,Listas!$B$13&lt;&gt;"OK"),"n.a.",J125*K125))</x:f>
      </x:c>
      <x:c r="M125" s="27"/>
      <x:c r="N125" s="40" t="str">
        <x:f>IF(A125="","",IF(OR(U125&gt;0,Listas!$B$13&lt;&gt;"OK"),"REVISAR DADOS",IF(J125=0,"SEM SALDO",IF(G125&lt;Listas!$B$6,"VENCIDO",IF(H125&lt;=Listas!$B$7,"CRÍTICO",IF(H125&lt;=Listas!$B$8,"VENCE NA JANELA","OK"))))))</x:f>
      </x:c>
      <x:c r="O125" s="41" t="str">
        <x:f>IF(A125="","",IF(AND(ISNUMBER(V125),V125&gt;0),G125,""))</x:f>
      </x:c>
      <x:c r="P125" s="40" t="str">
        <x:f>IF(A125="","",IF(OR(U125&gt;0,Listas!$B$13&lt;&gt;"OK"),"REVISAR DADOS",IF(J125=0,"ARQUIVAR LOTE",IF(M125="Quarentena","DECIDIR LIBERAÇÃO",IF(M125="Bloqueado","SEGREGAR E INVESTIGAR",IF(M125="Esgotado","REVISAR STATUS COM SALDO",IF(N125="VENCIDO","SEGREGAR E AVALIAR DESTINAÇÃO",IF(OR(N125="CRÍTICO",N125="VENCE NA JANELA"),"PRIORIZAR FEFO","MANTER ROTAÇÃO"))))))))</x:f>
      </x:c>
      <x:c r="Q125" s="27"/>
      <x:c r="R125" s="181" t="str">
        <x:f>IF(A125="","",IF(OR(U125&gt;0,Listas!$B$13&lt;&gt;"OK"),"n.a.",IF(OR(N125="VENCIDO",N125="CRÍTICO",N125="VENCE NA JANELA",M125="Quarentena",M125="Bloqueado"),L125,0)))</x:f>
      </x:c>
      <x:c r="S125" s="163" t="str">
        <x:f>IF(COUNTA(A125:B125,D125:G125,I125,K125,M125,Q125,AB125:AD125)=0,"",IF(OR(A125="",COUNTIFS($A$5:$A$204,A125)&lt;&gt;1),"Lote ausente ou duplicado",IF(OR(B125="",COUNTIFS(Produtos!$A$5:$A$204,B125)&lt;&gt;1),"SKU ausente ou desconhecido",IF(COUNTIFS(Produtos!$A$5:$A$204,B125,Produtos!$R$5:$R$204,1)&gt;0,"Revisar cadastro do produto",IF(OR(NOT(ISNUMBER(E125)),E125&lt;=0,NOT(ISNUMBER(G125)),G125&lt;=0,G125&lt;E125),"Recebimento ou validade inválida",IF(AND(F125&lt;&gt;"",OR(NOT(ISNUMBER(F125)),F125&lt;=0,F125&gt;E125)),"Fabricação inválida ou posterior ao recebimento",IF(OR(NOT(ISNUMBER(K125)),K125&lt;0,NOT(ISNUMBER(I125)),I125&lt;0),"Quantidade recebida ou custo inválido",IF(AND(M125&lt;&gt;"Liberado",M125&lt;&gt;"Quarentena",M125&lt;&gt;"Bloqueado",M125&lt;&gt;"Esgotado"),"Status de lote inválido",""))))))))</x:f>
      </x:c>
      <x:c r="T125" s="163" t="n">
        <x:f>IF(A125="",0,COUNTIFS(Movimentacoes!$D$5:$D$304,A125,Movimentacoes!$P$5:$P$304,1))</x:f>
        <x:v>0</x:v>
      </x:c>
      <x:c r="U125" s="163" t="n">
        <x:f>IF(COUNTA(A125:B125,D125:G125,I125,K125,M125,Q125,AB125:AD125)=0,0,IF(OR(S125&lt;&gt;"",T125&gt;0),1,IF(ISNUMBER(J125),IF(OR(J125&lt;0,AND(J125&gt;0,M125="Esgotado")),1,0),0)))</x:f>
        <x:v>0</x:v>
      </x:c>
      <x:c r="V125" s="163" t="str">
        <x:f>IF(A125="","",IF(OR(U125&gt;0,Listas!$B$13&lt;&gt;"OK"),"n.a.",IF(AND(J125&gt;0,M125="Liberado",G125&gt;=Listas!$B$6),J125,0)))</x:f>
      </x:c>
      <x:c r="W125" s="163" t="str">
        <x:f>IF(A125="","",IF(OR(U125&gt;0,Listas!$B$13&lt;&gt;"OK"),"n.a.",V125*K125))</x:f>
      </x:c>
      <x:c r="X125" s="167" t="n">
        <x:f>IF(COUNTA(A125:B125,D125:G125,I125,K125,M125,Q125,AB125:AD125)=0,0,IF(OR(Listas!$B$19="Todos",B125=Listas!$B$19,COUNTIFS(Produtos!$A$5:$A$204,B125)&lt;&gt;1),1,0))</x:f>
        <x:v>0</x:v>
      </x:c>
      <x:c r="Y125" s="167" t="str">
        <x:f>IF(X125=0,"",IF(Listas!$B$13&lt;&gt;"OK","Revisar parâmetros",IF(U125&gt;0,IF(S125&lt;&gt;"",S125,IF(T125&gt;0,"Revisar movimentos",IF(AND(ISNUMBER(J125),J125&lt;0),"Saldo negativo","Status esgotado com saldo"))),IF(AG125&lt;&gt;"",AG125&amp;". ","")&amp;IF(J125&lt;=0,"",IF(N125="VENCIDO","Validade vencida. ","")&amp;IF(M125="Quarentena","Em quarentena. ","")&amp;IF(M125="Bloqueado","Lote bloqueado. ","")&amp;IF(N125="CRÍTICO","Validade crítica. ","")&amp;IF(N125="VENCE NA JANELA","Vence na janela. ","")))))</x:f>
      </x:c>
      <x:c r="Z125" s="167" t="n">
        <x:f>IF(OR(X125=0,Y125=""),0,IF(OR(Listas!$B$13&lt;&gt;"OK",U125&gt;0,AH125&gt;0),1,IF(N125="VENCIDO",2,IF(OR(M125="Quarentena",M125="Bloqueado"),3,IF(N125="CRÍTICO",4,5)))))</x:f>
        <x:v>0</x:v>
      </x:c>
      <x:c r="AA125" s="167" t="n">
        <x:f>IF(Z125=0,0,COUNTIFS($Z$5:$Z$204,"&gt;0",$Z$5:$Z$204,"&lt;"&amp;Z125,$X$5:$X$204,1)+COUNTIFS($Z$5:Z125,Z125,$X$5:X125,1))</x:f>
        <x:v>0</x:v>
      </x:c>
      <x:c r="AB125" s="168"/>
      <x:c r="AC125" s="168"/>
      <x:c r="AD125" s="169"/>
      <x:c r="AE125" s="167" t="str">
        <x:f>IF(X125=0,"",IF(OR(U125&gt;0,Listas!$B$13&lt;&gt;"OK"),"Dados pendentes",IF(J125&lt;=0,"Sem saldo",IF(N125="VENCIDO","Vencidos",IF(OR(M125="Quarentena",M125="Bloqueado"),"Restritos vigentes",IF(OR(N125="CRÍTICO",N125="VENCE NA JANELA"),"Liberados na janela","Demais liberados"))))))</x:f>
      </x:c>
      <x:c r="AF125" s="167" t="str">
        <x:f>IF(A125&lt;&gt;"",A125,IF(U125&gt;0,"Sem ID (linha "&amp;ROW()&amp;")",""))</x:f>
      </x:c>
      <x:c r="AG125" s="167" t="str">
        <x:f>IF(AD125="","",IF(OR(NOT(ISNUMBER(AD125)),AD125&lt;=0),"Prazo da ação inválido",""))</x:f>
      </x:c>
      <x:c r="AH125" s="167" t="n">
        <x:f>IF(AG125="",0,1)</x:f>
        <x:v>0</x:v>
      </x:c>
    </x:row>
    <x:row r="126" ht="32" customHeight="1">
      <x:c r="A126" s="27"/>
      <x:c r="B126" s="27"/>
      <x:c r="C126" s="40" t="str">
        <x:f>IF($B126="","",IFERROR(INDEX(Produtos!$B$5:$B$204,MATCH($B126,Produtos!$A$5:$A$204,0)),""))</x:f>
      </x:c>
      <x:c r="D126" s="170"/>
      <x:c r="E126" s="179"/>
      <x:c r="F126" s="179"/>
      <x:c r="G126" s="179"/>
      <x:c r="H126" s="40" t="str">
        <x:f>IF(A126="","",IF(OR(S126&lt;&gt;"",Listas!$B$13&lt;&gt;"OK"),"n.a.",G126-Listas!$B$6))</x:f>
      </x:c>
      <x:c r="I126" s="40"/>
      <x:c r="J126" s="40" t="str">
        <x:f>IF(A126="","",IF(OR(S126&lt;&gt;"",T126&gt;0,Listas!$B$13&lt;&gt;"OK"),"n.a.",SUMIFS(Movimentacoes!$H$5:$H$304,Movimentacoes!$D$5:$D$304,A126,Movimentacoes!$B$5:$B$304,"&lt;="&amp;Listas!$B$6)))</x:f>
      </x:c>
      <x:c r="K126" s="180"/>
      <x:c r="L126" s="181" t="str">
        <x:f>IF(A126="","",IF(OR(U126&gt;0,Listas!$B$13&lt;&gt;"OK"),"n.a.",J126*K126))</x:f>
      </x:c>
      <x:c r="M126" s="27"/>
      <x:c r="N126" s="40" t="str">
        <x:f>IF(A126="","",IF(OR(U126&gt;0,Listas!$B$13&lt;&gt;"OK"),"REVISAR DADOS",IF(J126=0,"SEM SALDO",IF(G126&lt;Listas!$B$6,"VENCIDO",IF(H126&lt;=Listas!$B$7,"CRÍTICO",IF(H126&lt;=Listas!$B$8,"VENCE NA JANELA","OK"))))))</x:f>
      </x:c>
      <x:c r="O126" s="41" t="str">
        <x:f>IF(A126="","",IF(AND(ISNUMBER(V126),V126&gt;0),G126,""))</x:f>
      </x:c>
      <x:c r="P126" s="40" t="str">
        <x:f>IF(A126="","",IF(OR(U126&gt;0,Listas!$B$13&lt;&gt;"OK"),"REVISAR DADOS",IF(J126=0,"ARQUIVAR LOTE",IF(M126="Quarentena","DECIDIR LIBERAÇÃO",IF(M126="Bloqueado","SEGREGAR E INVESTIGAR",IF(M126="Esgotado","REVISAR STATUS COM SALDO",IF(N126="VENCIDO","SEGREGAR E AVALIAR DESTINAÇÃO",IF(OR(N126="CRÍTICO",N126="VENCE NA JANELA"),"PRIORIZAR FEFO","MANTER ROTAÇÃO"))))))))</x:f>
      </x:c>
      <x:c r="Q126" s="27"/>
      <x:c r="R126" s="181" t="str">
        <x:f>IF(A126="","",IF(OR(U126&gt;0,Listas!$B$13&lt;&gt;"OK"),"n.a.",IF(OR(N126="VENCIDO",N126="CRÍTICO",N126="VENCE NA JANELA",M126="Quarentena",M126="Bloqueado"),L126,0)))</x:f>
      </x:c>
      <x:c r="S126" s="163" t="str">
        <x:f>IF(COUNTA(A126:B126,D126:G126,I126,K126,M126,Q126,AB126:AD126)=0,"",IF(OR(A126="",COUNTIFS($A$5:$A$204,A126)&lt;&gt;1),"Lote ausente ou duplicado",IF(OR(B126="",COUNTIFS(Produtos!$A$5:$A$204,B126)&lt;&gt;1),"SKU ausente ou desconhecido",IF(COUNTIFS(Produtos!$A$5:$A$204,B126,Produtos!$R$5:$R$204,1)&gt;0,"Revisar cadastro do produto",IF(OR(NOT(ISNUMBER(E126)),E126&lt;=0,NOT(ISNUMBER(G126)),G126&lt;=0,G126&lt;E126),"Recebimento ou validade inválida",IF(AND(F126&lt;&gt;"",OR(NOT(ISNUMBER(F126)),F126&lt;=0,F126&gt;E126)),"Fabricação inválida ou posterior ao recebimento",IF(OR(NOT(ISNUMBER(K126)),K126&lt;0,NOT(ISNUMBER(I126)),I126&lt;0),"Quantidade recebida ou custo inválido",IF(AND(M126&lt;&gt;"Liberado",M126&lt;&gt;"Quarentena",M126&lt;&gt;"Bloqueado",M126&lt;&gt;"Esgotado"),"Status de lote inválido",""))))))))</x:f>
      </x:c>
      <x:c r="T126" s="163" t="n">
        <x:f>IF(A126="",0,COUNTIFS(Movimentacoes!$D$5:$D$304,A126,Movimentacoes!$P$5:$P$304,1))</x:f>
        <x:v>0</x:v>
      </x:c>
      <x:c r="U126" s="163" t="n">
        <x:f>IF(COUNTA(A126:B126,D126:G126,I126,K126,M126,Q126,AB126:AD126)=0,0,IF(OR(S126&lt;&gt;"",T126&gt;0),1,IF(ISNUMBER(J126),IF(OR(J126&lt;0,AND(J126&gt;0,M126="Esgotado")),1,0),0)))</x:f>
        <x:v>0</x:v>
      </x:c>
      <x:c r="V126" s="163" t="str">
        <x:f>IF(A126="","",IF(OR(U126&gt;0,Listas!$B$13&lt;&gt;"OK"),"n.a.",IF(AND(J126&gt;0,M126="Liberado",G126&gt;=Listas!$B$6),J126,0)))</x:f>
      </x:c>
      <x:c r="W126" s="163" t="str">
        <x:f>IF(A126="","",IF(OR(U126&gt;0,Listas!$B$13&lt;&gt;"OK"),"n.a.",V126*K126))</x:f>
      </x:c>
      <x:c r="X126" s="167" t="n">
        <x:f>IF(COUNTA(A126:B126,D126:G126,I126,K126,M126,Q126,AB126:AD126)=0,0,IF(OR(Listas!$B$19="Todos",B126=Listas!$B$19,COUNTIFS(Produtos!$A$5:$A$204,B126)&lt;&gt;1),1,0))</x:f>
        <x:v>0</x:v>
      </x:c>
      <x:c r="Y126" s="167" t="str">
        <x:f>IF(X126=0,"",IF(Listas!$B$13&lt;&gt;"OK","Revisar parâmetros",IF(U126&gt;0,IF(S126&lt;&gt;"",S126,IF(T126&gt;0,"Revisar movimentos",IF(AND(ISNUMBER(J126),J126&lt;0),"Saldo negativo","Status esgotado com saldo"))),IF(AG126&lt;&gt;"",AG126&amp;". ","")&amp;IF(J126&lt;=0,"",IF(N126="VENCIDO","Validade vencida. ","")&amp;IF(M126="Quarentena","Em quarentena. ","")&amp;IF(M126="Bloqueado","Lote bloqueado. ","")&amp;IF(N126="CRÍTICO","Validade crítica. ","")&amp;IF(N126="VENCE NA JANELA","Vence na janela. ","")))))</x:f>
      </x:c>
      <x:c r="Z126" s="167" t="n">
        <x:f>IF(OR(X126=0,Y126=""),0,IF(OR(Listas!$B$13&lt;&gt;"OK",U126&gt;0,AH126&gt;0),1,IF(N126="VENCIDO",2,IF(OR(M126="Quarentena",M126="Bloqueado"),3,IF(N126="CRÍTICO",4,5)))))</x:f>
        <x:v>0</x:v>
      </x:c>
      <x:c r="AA126" s="167" t="n">
        <x:f>IF(Z126=0,0,COUNTIFS($Z$5:$Z$204,"&gt;0",$Z$5:$Z$204,"&lt;"&amp;Z126,$X$5:$X$204,1)+COUNTIFS($Z$5:Z126,Z126,$X$5:X126,1))</x:f>
        <x:v>0</x:v>
      </x:c>
      <x:c r="AB126" s="168"/>
      <x:c r="AC126" s="168"/>
      <x:c r="AD126" s="169"/>
      <x:c r="AE126" s="167" t="str">
        <x:f>IF(X126=0,"",IF(OR(U126&gt;0,Listas!$B$13&lt;&gt;"OK"),"Dados pendentes",IF(J126&lt;=0,"Sem saldo",IF(N126="VENCIDO","Vencidos",IF(OR(M126="Quarentena",M126="Bloqueado"),"Restritos vigentes",IF(OR(N126="CRÍTICO",N126="VENCE NA JANELA"),"Liberados na janela","Demais liberados"))))))</x:f>
      </x:c>
      <x:c r="AF126" s="167" t="str">
        <x:f>IF(A126&lt;&gt;"",A126,IF(U126&gt;0,"Sem ID (linha "&amp;ROW()&amp;")",""))</x:f>
      </x:c>
      <x:c r="AG126" s="167" t="str">
        <x:f>IF(AD126="","",IF(OR(NOT(ISNUMBER(AD126)),AD126&lt;=0),"Prazo da ação inválido",""))</x:f>
      </x:c>
      <x:c r="AH126" s="167" t="n">
        <x:f>IF(AG126="",0,1)</x:f>
        <x:v>0</x:v>
      </x:c>
    </x:row>
    <x:row r="127" ht="32" customHeight="1">
      <x:c r="A127" s="27"/>
      <x:c r="B127" s="27"/>
      <x:c r="C127" s="40" t="str">
        <x:f>IF($B127="","",IFERROR(INDEX(Produtos!$B$5:$B$204,MATCH($B127,Produtos!$A$5:$A$204,0)),""))</x:f>
      </x:c>
      <x:c r="D127" s="170"/>
      <x:c r="E127" s="179"/>
      <x:c r="F127" s="179"/>
      <x:c r="G127" s="179"/>
      <x:c r="H127" s="40" t="str">
        <x:f>IF(A127="","",IF(OR(S127&lt;&gt;"",Listas!$B$13&lt;&gt;"OK"),"n.a.",G127-Listas!$B$6))</x:f>
      </x:c>
      <x:c r="I127" s="40"/>
      <x:c r="J127" s="40" t="str">
        <x:f>IF(A127="","",IF(OR(S127&lt;&gt;"",T127&gt;0,Listas!$B$13&lt;&gt;"OK"),"n.a.",SUMIFS(Movimentacoes!$H$5:$H$304,Movimentacoes!$D$5:$D$304,A127,Movimentacoes!$B$5:$B$304,"&lt;="&amp;Listas!$B$6)))</x:f>
      </x:c>
      <x:c r="K127" s="180"/>
      <x:c r="L127" s="181" t="str">
        <x:f>IF(A127="","",IF(OR(U127&gt;0,Listas!$B$13&lt;&gt;"OK"),"n.a.",J127*K127))</x:f>
      </x:c>
      <x:c r="M127" s="27"/>
      <x:c r="N127" s="40" t="str">
        <x:f>IF(A127="","",IF(OR(U127&gt;0,Listas!$B$13&lt;&gt;"OK"),"REVISAR DADOS",IF(J127=0,"SEM SALDO",IF(G127&lt;Listas!$B$6,"VENCIDO",IF(H127&lt;=Listas!$B$7,"CRÍTICO",IF(H127&lt;=Listas!$B$8,"VENCE NA JANELA","OK"))))))</x:f>
      </x:c>
      <x:c r="O127" s="41" t="str">
        <x:f>IF(A127="","",IF(AND(ISNUMBER(V127),V127&gt;0),G127,""))</x:f>
      </x:c>
      <x:c r="P127" s="40" t="str">
        <x:f>IF(A127="","",IF(OR(U127&gt;0,Listas!$B$13&lt;&gt;"OK"),"REVISAR DADOS",IF(J127=0,"ARQUIVAR LOTE",IF(M127="Quarentena","DECIDIR LIBERAÇÃO",IF(M127="Bloqueado","SEGREGAR E INVESTIGAR",IF(M127="Esgotado","REVISAR STATUS COM SALDO",IF(N127="VENCIDO","SEGREGAR E AVALIAR DESTINAÇÃO",IF(OR(N127="CRÍTICO",N127="VENCE NA JANELA"),"PRIORIZAR FEFO","MANTER ROTAÇÃO"))))))))</x:f>
      </x:c>
      <x:c r="Q127" s="27"/>
      <x:c r="R127" s="181" t="str">
        <x:f>IF(A127="","",IF(OR(U127&gt;0,Listas!$B$13&lt;&gt;"OK"),"n.a.",IF(OR(N127="VENCIDO",N127="CRÍTICO",N127="VENCE NA JANELA",M127="Quarentena",M127="Bloqueado"),L127,0)))</x:f>
      </x:c>
      <x:c r="S127" s="163" t="str">
        <x:f>IF(COUNTA(A127:B127,D127:G127,I127,K127,M127,Q127,AB127:AD127)=0,"",IF(OR(A127="",COUNTIFS($A$5:$A$204,A127)&lt;&gt;1),"Lote ausente ou duplicado",IF(OR(B127="",COUNTIFS(Produtos!$A$5:$A$204,B127)&lt;&gt;1),"SKU ausente ou desconhecido",IF(COUNTIFS(Produtos!$A$5:$A$204,B127,Produtos!$R$5:$R$204,1)&gt;0,"Revisar cadastro do produto",IF(OR(NOT(ISNUMBER(E127)),E127&lt;=0,NOT(ISNUMBER(G127)),G127&lt;=0,G127&lt;E127),"Recebimento ou validade inválida",IF(AND(F127&lt;&gt;"",OR(NOT(ISNUMBER(F127)),F127&lt;=0,F127&gt;E127)),"Fabricação inválida ou posterior ao recebimento",IF(OR(NOT(ISNUMBER(K127)),K127&lt;0,NOT(ISNUMBER(I127)),I127&lt;0),"Quantidade recebida ou custo inválido",IF(AND(M127&lt;&gt;"Liberado",M127&lt;&gt;"Quarentena",M127&lt;&gt;"Bloqueado",M127&lt;&gt;"Esgotado"),"Status de lote inválido",""))))))))</x:f>
      </x:c>
      <x:c r="T127" s="163" t="n">
        <x:f>IF(A127="",0,COUNTIFS(Movimentacoes!$D$5:$D$304,A127,Movimentacoes!$P$5:$P$304,1))</x:f>
        <x:v>0</x:v>
      </x:c>
      <x:c r="U127" s="163" t="n">
        <x:f>IF(COUNTA(A127:B127,D127:G127,I127,K127,M127,Q127,AB127:AD127)=0,0,IF(OR(S127&lt;&gt;"",T127&gt;0),1,IF(ISNUMBER(J127),IF(OR(J127&lt;0,AND(J127&gt;0,M127="Esgotado")),1,0),0)))</x:f>
        <x:v>0</x:v>
      </x:c>
      <x:c r="V127" s="163" t="str">
        <x:f>IF(A127="","",IF(OR(U127&gt;0,Listas!$B$13&lt;&gt;"OK"),"n.a.",IF(AND(J127&gt;0,M127="Liberado",G127&gt;=Listas!$B$6),J127,0)))</x:f>
      </x:c>
      <x:c r="W127" s="163" t="str">
        <x:f>IF(A127="","",IF(OR(U127&gt;0,Listas!$B$13&lt;&gt;"OK"),"n.a.",V127*K127))</x:f>
      </x:c>
      <x:c r="X127" s="167" t="n">
        <x:f>IF(COUNTA(A127:B127,D127:G127,I127,K127,M127,Q127,AB127:AD127)=0,0,IF(OR(Listas!$B$19="Todos",B127=Listas!$B$19,COUNTIFS(Produtos!$A$5:$A$204,B127)&lt;&gt;1),1,0))</x:f>
        <x:v>0</x:v>
      </x:c>
      <x:c r="Y127" s="167" t="str">
        <x:f>IF(X127=0,"",IF(Listas!$B$13&lt;&gt;"OK","Revisar parâmetros",IF(U127&gt;0,IF(S127&lt;&gt;"",S127,IF(T127&gt;0,"Revisar movimentos",IF(AND(ISNUMBER(J127),J127&lt;0),"Saldo negativo","Status esgotado com saldo"))),IF(AG127&lt;&gt;"",AG127&amp;". ","")&amp;IF(J127&lt;=0,"",IF(N127="VENCIDO","Validade vencida. ","")&amp;IF(M127="Quarentena","Em quarentena. ","")&amp;IF(M127="Bloqueado","Lote bloqueado. ","")&amp;IF(N127="CRÍTICO","Validade crítica. ","")&amp;IF(N127="VENCE NA JANELA","Vence na janela. ","")))))</x:f>
      </x:c>
      <x:c r="Z127" s="167" t="n">
        <x:f>IF(OR(X127=0,Y127=""),0,IF(OR(Listas!$B$13&lt;&gt;"OK",U127&gt;0,AH127&gt;0),1,IF(N127="VENCIDO",2,IF(OR(M127="Quarentena",M127="Bloqueado"),3,IF(N127="CRÍTICO",4,5)))))</x:f>
        <x:v>0</x:v>
      </x:c>
      <x:c r="AA127" s="167" t="n">
        <x:f>IF(Z127=0,0,COUNTIFS($Z$5:$Z$204,"&gt;0",$Z$5:$Z$204,"&lt;"&amp;Z127,$X$5:$X$204,1)+COUNTIFS($Z$5:Z127,Z127,$X$5:X127,1))</x:f>
        <x:v>0</x:v>
      </x:c>
      <x:c r="AB127" s="168"/>
      <x:c r="AC127" s="168"/>
      <x:c r="AD127" s="169"/>
      <x:c r="AE127" s="167" t="str">
        <x:f>IF(X127=0,"",IF(OR(U127&gt;0,Listas!$B$13&lt;&gt;"OK"),"Dados pendentes",IF(J127&lt;=0,"Sem saldo",IF(N127="VENCIDO","Vencidos",IF(OR(M127="Quarentena",M127="Bloqueado"),"Restritos vigentes",IF(OR(N127="CRÍTICO",N127="VENCE NA JANELA"),"Liberados na janela","Demais liberados"))))))</x:f>
      </x:c>
      <x:c r="AF127" s="167" t="str">
        <x:f>IF(A127&lt;&gt;"",A127,IF(U127&gt;0,"Sem ID (linha "&amp;ROW()&amp;")",""))</x:f>
      </x:c>
      <x:c r="AG127" s="167" t="str">
        <x:f>IF(AD127="","",IF(OR(NOT(ISNUMBER(AD127)),AD127&lt;=0),"Prazo da ação inválido",""))</x:f>
      </x:c>
      <x:c r="AH127" s="167" t="n">
        <x:f>IF(AG127="",0,1)</x:f>
        <x:v>0</x:v>
      </x:c>
    </x:row>
    <x:row r="128" ht="32" customHeight="1">
      <x:c r="A128" s="27"/>
      <x:c r="B128" s="27"/>
      <x:c r="C128" s="40" t="str">
        <x:f>IF($B128="","",IFERROR(INDEX(Produtos!$B$5:$B$204,MATCH($B128,Produtos!$A$5:$A$204,0)),""))</x:f>
      </x:c>
      <x:c r="D128" s="170"/>
      <x:c r="E128" s="179"/>
      <x:c r="F128" s="179"/>
      <x:c r="G128" s="179"/>
      <x:c r="H128" s="40" t="str">
        <x:f>IF(A128="","",IF(OR(S128&lt;&gt;"",Listas!$B$13&lt;&gt;"OK"),"n.a.",G128-Listas!$B$6))</x:f>
      </x:c>
      <x:c r="I128" s="40"/>
      <x:c r="J128" s="40" t="str">
        <x:f>IF(A128="","",IF(OR(S128&lt;&gt;"",T128&gt;0,Listas!$B$13&lt;&gt;"OK"),"n.a.",SUMIFS(Movimentacoes!$H$5:$H$304,Movimentacoes!$D$5:$D$304,A128,Movimentacoes!$B$5:$B$304,"&lt;="&amp;Listas!$B$6)))</x:f>
      </x:c>
      <x:c r="K128" s="180"/>
      <x:c r="L128" s="181" t="str">
        <x:f>IF(A128="","",IF(OR(U128&gt;0,Listas!$B$13&lt;&gt;"OK"),"n.a.",J128*K128))</x:f>
      </x:c>
      <x:c r="M128" s="27"/>
      <x:c r="N128" s="40" t="str">
        <x:f>IF(A128="","",IF(OR(U128&gt;0,Listas!$B$13&lt;&gt;"OK"),"REVISAR DADOS",IF(J128=0,"SEM SALDO",IF(G128&lt;Listas!$B$6,"VENCIDO",IF(H128&lt;=Listas!$B$7,"CRÍTICO",IF(H128&lt;=Listas!$B$8,"VENCE NA JANELA","OK"))))))</x:f>
      </x:c>
      <x:c r="O128" s="41" t="str">
        <x:f>IF(A128="","",IF(AND(ISNUMBER(V128),V128&gt;0),G128,""))</x:f>
      </x:c>
      <x:c r="P128" s="40" t="str">
        <x:f>IF(A128="","",IF(OR(U128&gt;0,Listas!$B$13&lt;&gt;"OK"),"REVISAR DADOS",IF(J128=0,"ARQUIVAR LOTE",IF(M128="Quarentena","DECIDIR LIBERAÇÃO",IF(M128="Bloqueado","SEGREGAR E INVESTIGAR",IF(M128="Esgotado","REVISAR STATUS COM SALDO",IF(N128="VENCIDO","SEGREGAR E AVALIAR DESTINAÇÃO",IF(OR(N128="CRÍTICO",N128="VENCE NA JANELA"),"PRIORIZAR FEFO","MANTER ROTAÇÃO"))))))))</x:f>
      </x:c>
      <x:c r="Q128" s="27"/>
      <x:c r="R128" s="181" t="str">
        <x:f>IF(A128="","",IF(OR(U128&gt;0,Listas!$B$13&lt;&gt;"OK"),"n.a.",IF(OR(N128="VENCIDO",N128="CRÍTICO",N128="VENCE NA JANELA",M128="Quarentena",M128="Bloqueado"),L128,0)))</x:f>
      </x:c>
      <x:c r="S128" s="163" t="str">
        <x:f>IF(COUNTA(A128:B128,D128:G128,I128,K128,M128,Q128,AB128:AD128)=0,"",IF(OR(A128="",COUNTIFS($A$5:$A$204,A128)&lt;&gt;1),"Lote ausente ou duplicado",IF(OR(B128="",COUNTIFS(Produtos!$A$5:$A$204,B128)&lt;&gt;1),"SKU ausente ou desconhecido",IF(COUNTIFS(Produtos!$A$5:$A$204,B128,Produtos!$R$5:$R$204,1)&gt;0,"Revisar cadastro do produto",IF(OR(NOT(ISNUMBER(E128)),E128&lt;=0,NOT(ISNUMBER(G128)),G128&lt;=0,G128&lt;E128),"Recebimento ou validade inválida",IF(AND(F128&lt;&gt;"",OR(NOT(ISNUMBER(F128)),F128&lt;=0,F128&gt;E128)),"Fabricação inválida ou posterior ao recebimento",IF(OR(NOT(ISNUMBER(K128)),K128&lt;0,NOT(ISNUMBER(I128)),I128&lt;0),"Quantidade recebida ou custo inválido",IF(AND(M128&lt;&gt;"Liberado",M128&lt;&gt;"Quarentena",M128&lt;&gt;"Bloqueado",M128&lt;&gt;"Esgotado"),"Status de lote inválido",""))))))))</x:f>
      </x:c>
      <x:c r="T128" s="163" t="n">
        <x:f>IF(A128="",0,COUNTIFS(Movimentacoes!$D$5:$D$304,A128,Movimentacoes!$P$5:$P$304,1))</x:f>
        <x:v>0</x:v>
      </x:c>
      <x:c r="U128" s="163" t="n">
        <x:f>IF(COUNTA(A128:B128,D128:G128,I128,K128,M128,Q128,AB128:AD128)=0,0,IF(OR(S128&lt;&gt;"",T128&gt;0),1,IF(ISNUMBER(J128),IF(OR(J128&lt;0,AND(J128&gt;0,M128="Esgotado")),1,0),0)))</x:f>
        <x:v>0</x:v>
      </x:c>
      <x:c r="V128" s="163" t="str">
        <x:f>IF(A128="","",IF(OR(U128&gt;0,Listas!$B$13&lt;&gt;"OK"),"n.a.",IF(AND(J128&gt;0,M128="Liberado",G128&gt;=Listas!$B$6),J128,0)))</x:f>
      </x:c>
      <x:c r="W128" s="163" t="str">
        <x:f>IF(A128="","",IF(OR(U128&gt;0,Listas!$B$13&lt;&gt;"OK"),"n.a.",V128*K128))</x:f>
      </x:c>
      <x:c r="X128" s="167" t="n">
        <x:f>IF(COUNTA(A128:B128,D128:G128,I128,K128,M128,Q128,AB128:AD128)=0,0,IF(OR(Listas!$B$19="Todos",B128=Listas!$B$19,COUNTIFS(Produtos!$A$5:$A$204,B128)&lt;&gt;1),1,0))</x:f>
        <x:v>0</x:v>
      </x:c>
      <x:c r="Y128" s="167" t="str">
        <x:f>IF(X128=0,"",IF(Listas!$B$13&lt;&gt;"OK","Revisar parâmetros",IF(U128&gt;0,IF(S128&lt;&gt;"",S128,IF(T128&gt;0,"Revisar movimentos",IF(AND(ISNUMBER(J128),J128&lt;0),"Saldo negativo","Status esgotado com saldo"))),IF(AG128&lt;&gt;"",AG128&amp;". ","")&amp;IF(J128&lt;=0,"",IF(N128="VENCIDO","Validade vencida. ","")&amp;IF(M128="Quarentena","Em quarentena. ","")&amp;IF(M128="Bloqueado","Lote bloqueado. ","")&amp;IF(N128="CRÍTICO","Validade crítica. ","")&amp;IF(N128="VENCE NA JANELA","Vence na janela. ","")))))</x:f>
      </x:c>
      <x:c r="Z128" s="167" t="n">
        <x:f>IF(OR(X128=0,Y128=""),0,IF(OR(Listas!$B$13&lt;&gt;"OK",U128&gt;0,AH128&gt;0),1,IF(N128="VENCIDO",2,IF(OR(M128="Quarentena",M128="Bloqueado"),3,IF(N128="CRÍTICO",4,5)))))</x:f>
        <x:v>0</x:v>
      </x:c>
      <x:c r="AA128" s="167" t="n">
        <x:f>IF(Z128=0,0,COUNTIFS($Z$5:$Z$204,"&gt;0",$Z$5:$Z$204,"&lt;"&amp;Z128,$X$5:$X$204,1)+COUNTIFS($Z$5:Z128,Z128,$X$5:X128,1))</x:f>
        <x:v>0</x:v>
      </x:c>
      <x:c r="AB128" s="168"/>
      <x:c r="AC128" s="168"/>
      <x:c r="AD128" s="169"/>
      <x:c r="AE128" s="167" t="str">
        <x:f>IF(X128=0,"",IF(OR(U128&gt;0,Listas!$B$13&lt;&gt;"OK"),"Dados pendentes",IF(J128&lt;=0,"Sem saldo",IF(N128="VENCIDO","Vencidos",IF(OR(M128="Quarentena",M128="Bloqueado"),"Restritos vigentes",IF(OR(N128="CRÍTICO",N128="VENCE NA JANELA"),"Liberados na janela","Demais liberados"))))))</x:f>
      </x:c>
      <x:c r="AF128" s="167" t="str">
        <x:f>IF(A128&lt;&gt;"",A128,IF(U128&gt;0,"Sem ID (linha "&amp;ROW()&amp;")",""))</x:f>
      </x:c>
      <x:c r="AG128" s="167" t="str">
        <x:f>IF(AD128="","",IF(OR(NOT(ISNUMBER(AD128)),AD128&lt;=0),"Prazo da ação inválido",""))</x:f>
      </x:c>
      <x:c r="AH128" s="167" t="n">
        <x:f>IF(AG128="",0,1)</x:f>
        <x:v>0</x:v>
      </x:c>
    </x:row>
    <x:row r="129" ht="32" customHeight="1">
      <x:c r="A129" s="27"/>
      <x:c r="B129" s="27"/>
      <x:c r="C129" s="40" t="str">
        <x:f>IF($B129="","",IFERROR(INDEX(Produtos!$B$5:$B$204,MATCH($B129,Produtos!$A$5:$A$204,0)),""))</x:f>
      </x:c>
      <x:c r="D129" s="170"/>
      <x:c r="E129" s="179"/>
      <x:c r="F129" s="179"/>
      <x:c r="G129" s="179"/>
      <x:c r="H129" s="40" t="str">
        <x:f>IF(A129="","",IF(OR(S129&lt;&gt;"",Listas!$B$13&lt;&gt;"OK"),"n.a.",G129-Listas!$B$6))</x:f>
      </x:c>
      <x:c r="I129" s="40"/>
      <x:c r="J129" s="40" t="str">
        <x:f>IF(A129="","",IF(OR(S129&lt;&gt;"",T129&gt;0,Listas!$B$13&lt;&gt;"OK"),"n.a.",SUMIFS(Movimentacoes!$H$5:$H$304,Movimentacoes!$D$5:$D$304,A129,Movimentacoes!$B$5:$B$304,"&lt;="&amp;Listas!$B$6)))</x:f>
      </x:c>
      <x:c r="K129" s="180"/>
      <x:c r="L129" s="181" t="str">
        <x:f>IF(A129="","",IF(OR(U129&gt;0,Listas!$B$13&lt;&gt;"OK"),"n.a.",J129*K129))</x:f>
      </x:c>
      <x:c r="M129" s="27"/>
      <x:c r="N129" s="40" t="str">
        <x:f>IF(A129="","",IF(OR(U129&gt;0,Listas!$B$13&lt;&gt;"OK"),"REVISAR DADOS",IF(J129=0,"SEM SALDO",IF(G129&lt;Listas!$B$6,"VENCIDO",IF(H129&lt;=Listas!$B$7,"CRÍTICO",IF(H129&lt;=Listas!$B$8,"VENCE NA JANELA","OK"))))))</x:f>
      </x:c>
      <x:c r="O129" s="41" t="str">
        <x:f>IF(A129="","",IF(AND(ISNUMBER(V129),V129&gt;0),G129,""))</x:f>
      </x:c>
      <x:c r="P129" s="40" t="str">
        <x:f>IF(A129="","",IF(OR(U129&gt;0,Listas!$B$13&lt;&gt;"OK"),"REVISAR DADOS",IF(J129=0,"ARQUIVAR LOTE",IF(M129="Quarentena","DECIDIR LIBERAÇÃO",IF(M129="Bloqueado","SEGREGAR E INVESTIGAR",IF(M129="Esgotado","REVISAR STATUS COM SALDO",IF(N129="VENCIDO","SEGREGAR E AVALIAR DESTINAÇÃO",IF(OR(N129="CRÍTICO",N129="VENCE NA JANELA"),"PRIORIZAR FEFO","MANTER ROTAÇÃO"))))))))</x:f>
      </x:c>
      <x:c r="Q129" s="27"/>
      <x:c r="R129" s="181" t="str">
        <x:f>IF(A129="","",IF(OR(U129&gt;0,Listas!$B$13&lt;&gt;"OK"),"n.a.",IF(OR(N129="VENCIDO",N129="CRÍTICO",N129="VENCE NA JANELA",M129="Quarentena",M129="Bloqueado"),L129,0)))</x:f>
      </x:c>
      <x:c r="S129" s="163" t="str">
        <x:f>IF(COUNTA(A129:B129,D129:G129,I129,K129,M129,Q129,AB129:AD129)=0,"",IF(OR(A129="",COUNTIFS($A$5:$A$204,A129)&lt;&gt;1),"Lote ausente ou duplicado",IF(OR(B129="",COUNTIFS(Produtos!$A$5:$A$204,B129)&lt;&gt;1),"SKU ausente ou desconhecido",IF(COUNTIFS(Produtos!$A$5:$A$204,B129,Produtos!$R$5:$R$204,1)&gt;0,"Revisar cadastro do produto",IF(OR(NOT(ISNUMBER(E129)),E129&lt;=0,NOT(ISNUMBER(G129)),G129&lt;=0,G129&lt;E129),"Recebimento ou validade inválida",IF(AND(F129&lt;&gt;"",OR(NOT(ISNUMBER(F129)),F129&lt;=0,F129&gt;E129)),"Fabricação inválida ou posterior ao recebimento",IF(OR(NOT(ISNUMBER(K129)),K129&lt;0,NOT(ISNUMBER(I129)),I129&lt;0),"Quantidade recebida ou custo inválido",IF(AND(M129&lt;&gt;"Liberado",M129&lt;&gt;"Quarentena",M129&lt;&gt;"Bloqueado",M129&lt;&gt;"Esgotado"),"Status de lote inválido",""))))))))</x:f>
      </x:c>
      <x:c r="T129" s="163" t="n">
        <x:f>IF(A129="",0,COUNTIFS(Movimentacoes!$D$5:$D$304,A129,Movimentacoes!$P$5:$P$304,1))</x:f>
        <x:v>0</x:v>
      </x:c>
      <x:c r="U129" s="163" t="n">
        <x:f>IF(COUNTA(A129:B129,D129:G129,I129,K129,M129,Q129,AB129:AD129)=0,0,IF(OR(S129&lt;&gt;"",T129&gt;0),1,IF(ISNUMBER(J129),IF(OR(J129&lt;0,AND(J129&gt;0,M129="Esgotado")),1,0),0)))</x:f>
        <x:v>0</x:v>
      </x:c>
      <x:c r="V129" s="163" t="str">
        <x:f>IF(A129="","",IF(OR(U129&gt;0,Listas!$B$13&lt;&gt;"OK"),"n.a.",IF(AND(J129&gt;0,M129="Liberado",G129&gt;=Listas!$B$6),J129,0)))</x:f>
      </x:c>
      <x:c r="W129" s="163" t="str">
        <x:f>IF(A129="","",IF(OR(U129&gt;0,Listas!$B$13&lt;&gt;"OK"),"n.a.",V129*K129))</x:f>
      </x:c>
      <x:c r="X129" s="167" t="n">
        <x:f>IF(COUNTA(A129:B129,D129:G129,I129,K129,M129,Q129,AB129:AD129)=0,0,IF(OR(Listas!$B$19="Todos",B129=Listas!$B$19,COUNTIFS(Produtos!$A$5:$A$204,B129)&lt;&gt;1),1,0))</x:f>
        <x:v>0</x:v>
      </x:c>
      <x:c r="Y129" s="167" t="str">
        <x:f>IF(X129=0,"",IF(Listas!$B$13&lt;&gt;"OK","Revisar parâmetros",IF(U129&gt;0,IF(S129&lt;&gt;"",S129,IF(T129&gt;0,"Revisar movimentos",IF(AND(ISNUMBER(J129),J129&lt;0),"Saldo negativo","Status esgotado com saldo"))),IF(AG129&lt;&gt;"",AG129&amp;". ","")&amp;IF(J129&lt;=0,"",IF(N129="VENCIDO","Validade vencida. ","")&amp;IF(M129="Quarentena","Em quarentena. ","")&amp;IF(M129="Bloqueado","Lote bloqueado. ","")&amp;IF(N129="CRÍTICO","Validade crítica. ","")&amp;IF(N129="VENCE NA JANELA","Vence na janela. ","")))))</x:f>
      </x:c>
      <x:c r="Z129" s="167" t="n">
        <x:f>IF(OR(X129=0,Y129=""),0,IF(OR(Listas!$B$13&lt;&gt;"OK",U129&gt;0,AH129&gt;0),1,IF(N129="VENCIDO",2,IF(OR(M129="Quarentena",M129="Bloqueado"),3,IF(N129="CRÍTICO",4,5)))))</x:f>
        <x:v>0</x:v>
      </x:c>
      <x:c r="AA129" s="167" t="n">
        <x:f>IF(Z129=0,0,COUNTIFS($Z$5:$Z$204,"&gt;0",$Z$5:$Z$204,"&lt;"&amp;Z129,$X$5:$X$204,1)+COUNTIFS($Z$5:Z129,Z129,$X$5:X129,1))</x:f>
        <x:v>0</x:v>
      </x:c>
      <x:c r="AB129" s="168"/>
      <x:c r="AC129" s="168"/>
      <x:c r="AD129" s="169"/>
      <x:c r="AE129" s="167" t="str">
        <x:f>IF(X129=0,"",IF(OR(U129&gt;0,Listas!$B$13&lt;&gt;"OK"),"Dados pendentes",IF(J129&lt;=0,"Sem saldo",IF(N129="VENCIDO","Vencidos",IF(OR(M129="Quarentena",M129="Bloqueado"),"Restritos vigentes",IF(OR(N129="CRÍTICO",N129="VENCE NA JANELA"),"Liberados na janela","Demais liberados"))))))</x:f>
      </x:c>
      <x:c r="AF129" s="167" t="str">
        <x:f>IF(A129&lt;&gt;"",A129,IF(U129&gt;0,"Sem ID (linha "&amp;ROW()&amp;")",""))</x:f>
      </x:c>
      <x:c r="AG129" s="167" t="str">
        <x:f>IF(AD129="","",IF(OR(NOT(ISNUMBER(AD129)),AD129&lt;=0),"Prazo da ação inválido",""))</x:f>
      </x:c>
      <x:c r="AH129" s="167" t="n">
        <x:f>IF(AG129="",0,1)</x:f>
        <x:v>0</x:v>
      </x:c>
    </x:row>
    <x:row r="130" ht="32" customHeight="1">
      <x:c r="A130" s="27"/>
      <x:c r="B130" s="27"/>
      <x:c r="C130" s="40" t="str">
        <x:f>IF($B130="","",IFERROR(INDEX(Produtos!$B$5:$B$204,MATCH($B130,Produtos!$A$5:$A$204,0)),""))</x:f>
      </x:c>
      <x:c r="D130" s="170"/>
      <x:c r="E130" s="179"/>
      <x:c r="F130" s="179"/>
      <x:c r="G130" s="179"/>
      <x:c r="H130" s="40" t="str">
        <x:f>IF(A130="","",IF(OR(S130&lt;&gt;"",Listas!$B$13&lt;&gt;"OK"),"n.a.",G130-Listas!$B$6))</x:f>
      </x:c>
      <x:c r="I130" s="40"/>
      <x:c r="J130" s="40" t="str">
        <x:f>IF(A130="","",IF(OR(S130&lt;&gt;"",T130&gt;0,Listas!$B$13&lt;&gt;"OK"),"n.a.",SUMIFS(Movimentacoes!$H$5:$H$304,Movimentacoes!$D$5:$D$304,A130,Movimentacoes!$B$5:$B$304,"&lt;="&amp;Listas!$B$6)))</x:f>
      </x:c>
      <x:c r="K130" s="180"/>
      <x:c r="L130" s="181" t="str">
        <x:f>IF(A130="","",IF(OR(U130&gt;0,Listas!$B$13&lt;&gt;"OK"),"n.a.",J130*K130))</x:f>
      </x:c>
      <x:c r="M130" s="27"/>
      <x:c r="N130" s="40" t="str">
        <x:f>IF(A130="","",IF(OR(U130&gt;0,Listas!$B$13&lt;&gt;"OK"),"REVISAR DADOS",IF(J130=0,"SEM SALDO",IF(G130&lt;Listas!$B$6,"VENCIDO",IF(H130&lt;=Listas!$B$7,"CRÍTICO",IF(H130&lt;=Listas!$B$8,"VENCE NA JANELA","OK"))))))</x:f>
      </x:c>
      <x:c r="O130" s="41" t="str">
        <x:f>IF(A130="","",IF(AND(ISNUMBER(V130),V130&gt;0),G130,""))</x:f>
      </x:c>
      <x:c r="P130" s="40" t="str">
        <x:f>IF(A130="","",IF(OR(U130&gt;0,Listas!$B$13&lt;&gt;"OK"),"REVISAR DADOS",IF(J130=0,"ARQUIVAR LOTE",IF(M130="Quarentena","DECIDIR LIBERAÇÃO",IF(M130="Bloqueado","SEGREGAR E INVESTIGAR",IF(M130="Esgotado","REVISAR STATUS COM SALDO",IF(N130="VENCIDO","SEGREGAR E AVALIAR DESTINAÇÃO",IF(OR(N130="CRÍTICO",N130="VENCE NA JANELA"),"PRIORIZAR FEFO","MANTER ROTAÇÃO"))))))))</x:f>
      </x:c>
      <x:c r="Q130" s="27"/>
      <x:c r="R130" s="181" t="str">
        <x:f>IF(A130="","",IF(OR(U130&gt;0,Listas!$B$13&lt;&gt;"OK"),"n.a.",IF(OR(N130="VENCIDO",N130="CRÍTICO",N130="VENCE NA JANELA",M130="Quarentena",M130="Bloqueado"),L130,0)))</x:f>
      </x:c>
      <x:c r="S130" s="163" t="str">
        <x:f>IF(COUNTA(A130:B130,D130:G130,I130,K130,M130,Q130,AB130:AD130)=0,"",IF(OR(A130="",COUNTIFS($A$5:$A$204,A130)&lt;&gt;1),"Lote ausente ou duplicado",IF(OR(B130="",COUNTIFS(Produtos!$A$5:$A$204,B130)&lt;&gt;1),"SKU ausente ou desconhecido",IF(COUNTIFS(Produtos!$A$5:$A$204,B130,Produtos!$R$5:$R$204,1)&gt;0,"Revisar cadastro do produto",IF(OR(NOT(ISNUMBER(E130)),E130&lt;=0,NOT(ISNUMBER(G130)),G130&lt;=0,G130&lt;E130),"Recebimento ou validade inválida",IF(AND(F130&lt;&gt;"",OR(NOT(ISNUMBER(F130)),F130&lt;=0,F130&gt;E130)),"Fabricação inválida ou posterior ao recebimento",IF(OR(NOT(ISNUMBER(K130)),K130&lt;0,NOT(ISNUMBER(I130)),I130&lt;0),"Quantidade recebida ou custo inválido",IF(AND(M130&lt;&gt;"Liberado",M130&lt;&gt;"Quarentena",M130&lt;&gt;"Bloqueado",M130&lt;&gt;"Esgotado"),"Status de lote inválido",""))))))))</x:f>
      </x:c>
      <x:c r="T130" s="163" t="n">
        <x:f>IF(A130="",0,COUNTIFS(Movimentacoes!$D$5:$D$304,A130,Movimentacoes!$P$5:$P$304,1))</x:f>
        <x:v>0</x:v>
      </x:c>
      <x:c r="U130" s="163" t="n">
        <x:f>IF(COUNTA(A130:B130,D130:G130,I130,K130,M130,Q130,AB130:AD130)=0,0,IF(OR(S130&lt;&gt;"",T130&gt;0),1,IF(ISNUMBER(J130),IF(OR(J130&lt;0,AND(J130&gt;0,M130="Esgotado")),1,0),0)))</x:f>
        <x:v>0</x:v>
      </x:c>
      <x:c r="V130" s="163" t="str">
        <x:f>IF(A130="","",IF(OR(U130&gt;0,Listas!$B$13&lt;&gt;"OK"),"n.a.",IF(AND(J130&gt;0,M130="Liberado",G130&gt;=Listas!$B$6),J130,0)))</x:f>
      </x:c>
      <x:c r="W130" s="163" t="str">
        <x:f>IF(A130="","",IF(OR(U130&gt;0,Listas!$B$13&lt;&gt;"OK"),"n.a.",V130*K130))</x:f>
      </x:c>
      <x:c r="X130" s="167" t="n">
        <x:f>IF(COUNTA(A130:B130,D130:G130,I130,K130,M130,Q130,AB130:AD130)=0,0,IF(OR(Listas!$B$19="Todos",B130=Listas!$B$19,COUNTIFS(Produtos!$A$5:$A$204,B130)&lt;&gt;1),1,0))</x:f>
        <x:v>0</x:v>
      </x:c>
      <x:c r="Y130" s="167" t="str">
        <x:f>IF(X130=0,"",IF(Listas!$B$13&lt;&gt;"OK","Revisar parâmetros",IF(U130&gt;0,IF(S130&lt;&gt;"",S130,IF(T130&gt;0,"Revisar movimentos",IF(AND(ISNUMBER(J130),J130&lt;0),"Saldo negativo","Status esgotado com saldo"))),IF(AG130&lt;&gt;"",AG130&amp;". ","")&amp;IF(J130&lt;=0,"",IF(N130="VENCIDO","Validade vencida. ","")&amp;IF(M130="Quarentena","Em quarentena. ","")&amp;IF(M130="Bloqueado","Lote bloqueado. ","")&amp;IF(N130="CRÍTICO","Validade crítica. ","")&amp;IF(N130="VENCE NA JANELA","Vence na janela. ","")))))</x:f>
      </x:c>
      <x:c r="Z130" s="167" t="n">
        <x:f>IF(OR(X130=0,Y130=""),0,IF(OR(Listas!$B$13&lt;&gt;"OK",U130&gt;0,AH130&gt;0),1,IF(N130="VENCIDO",2,IF(OR(M130="Quarentena",M130="Bloqueado"),3,IF(N130="CRÍTICO",4,5)))))</x:f>
        <x:v>0</x:v>
      </x:c>
      <x:c r="AA130" s="167" t="n">
        <x:f>IF(Z130=0,0,COUNTIFS($Z$5:$Z$204,"&gt;0",$Z$5:$Z$204,"&lt;"&amp;Z130,$X$5:$X$204,1)+COUNTIFS($Z$5:Z130,Z130,$X$5:X130,1))</x:f>
        <x:v>0</x:v>
      </x:c>
      <x:c r="AB130" s="168"/>
      <x:c r="AC130" s="168"/>
      <x:c r="AD130" s="169"/>
      <x:c r="AE130" s="167" t="str">
        <x:f>IF(X130=0,"",IF(OR(U130&gt;0,Listas!$B$13&lt;&gt;"OK"),"Dados pendentes",IF(J130&lt;=0,"Sem saldo",IF(N130="VENCIDO","Vencidos",IF(OR(M130="Quarentena",M130="Bloqueado"),"Restritos vigentes",IF(OR(N130="CRÍTICO",N130="VENCE NA JANELA"),"Liberados na janela","Demais liberados"))))))</x:f>
      </x:c>
      <x:c r="AF130" s="167" t="str">
        <x:f>IF(A130&lt;&gt;"",A130,IF(U130&gt;0,"Sem ID (linha "&amp;ROW()&amp;")",""))</x:f>
      </x:c>
      <x:c r="AG130" s="167" t="str">
        <x:f>IF(AD130="","",IF(OR(NOT(ISNUMBER(AD130)),AD130&lt;=0),"Prazo da ação inválido",""))</x:f>
      </x:c>
      <x:c r="AH130" s="167" t="n">
        <x:f>IF(AG130="",0,1)</x:f>
        <x:v>0</x:v>
      </x:c>
    </x:row>
    <x:row r="131" ht="32" customHeight="1">
      <x:c r="A131" s="27"/>
      <x:c r="B131" s="27"/>
      <x:c r="C131" s="40" t="str">
        <x:f>IF($B131="","",IFERROR(INDEX(Produtos!$B$5:$B$204,MATCH($B131,Produtos!$A$5:$A$204,0)),""))</x:f>
      </x:c>
      <x:c r="D131" s="170"/>
      <x:c r="E131" s="179"/>
      <x:c r="F131" s="179"/>
      <x:c r="G131" s="179"/>
      <x:c r="H131" s="40" t="str">
        <x:f>IF(A131="","",IF(OR(S131&lt;&gt;"",Listas!$B$13&lt;&gt;"OK"),"n.a.",G131-Listas!$B$6))</x:f>
      </x:c>
      <x:c r="I131" s="40"/>
      <x:c r="J131" s="40" t="str">
        <x:f>IF(A131="","",IF(OR(S131&lt;&gt;"",T131&gt;0,Listas!$B$13&lt;&gt;"OK"),"n.a.",SUMIFS(Movimentacoes!$H$5:$H$304,Movimentacoes!$D$5:$D$304,A131,Movimentacoes!$B$5:$B$304,"&lt;="&amp;Listas!$B$6)))</x:f>
      </x:c>
      <x:c r="K131" s="180"/>
      <x:c r="L131" s="181" t="str">
        <x:f>IF(A131="","",IF(OR(U131&gt;0,Listas!$B$13&lt;&gt;"OK"),"n.a.",J131*K131))</x:f>
      </x:c>
      <x:c r="M131" s="27"/>
      <x:c r="N131" s="40" t="str">
        <x:f>IF(A131="","",IF(OR(U131&gt;0,Listas!$B$13&lt;&gt;"OK"),"REVISAR DADOS",IF(J131=0,"SEM SALDO",IF(G131&lt;Listas!$B$6,"VENCIDO",IF(H131&lt;=Listas!$B$7,"CRÍTICO",IF(H131&lt;=Listas!$B$8,"VENCE NA JANELA","OK"))))))</x:f>
      </x:c>
      <x:c r="O131" s="41" t="str">
        <x:f>IF(A131="","",IF(AND(ISNUMBER(V131),V131&gt;0),G131,""))</x:f>
      </x:c>
      <x:c r="P131" s="40" t="str">
        <x:f>IF(A131="","",IF(OR(U131&gt;0,Listas!$B$13&lt;&gt;"OK"),"REVISAR DADOS",IF(J131=0,"ARQUIVAR LOTE",IF(M131="Quarentena","DECIDIR LIBERAÇÃO",IF(M131="Bloqueado","SEGREGAR E INVESTIGAR",IF(M131="Esgotado","REVISAR STATUS COM SALDO",IF(N131="VENCIDO","SEGREGAR E AVALIAR DESTINAÇÃO",IF(OR(N131="CRÍTICO",N131="VENCE NA JANELA"),"PRIORIZAR FEFO","MANTER ROTAÇÃO"))))))))</x:f>
      </x:c>
      <x:c r="Q131" s="27"/>
      <x:c r="R131" s="181" t="str">
        <x:f>IF(A131="","",IF(OR(U131&gt;0,Listas!$B$13&lt;&gt;"OK"),"n.a.",IF(OR(N131="VENCIDO",N131="CRÍTICO",N131="VENCE NA JANELA",M131="Quarentena",M131="Bloqueado"),L131,0)))</x:f>
      </x:c>
      <x:c r="S131" s="163" t="str">
        <x:f>IF(COUNTA(A131:B131,D131:G131,I131,K131,M131,Q131,AB131:AD131)=0,"",IF(OR(A131="",COUNTIFS($A$5:$A$204,A131)&lt;&gt;1),"Lote ausente ou duplicado",IF(OR(B131="",COUNTIFS(Produtos!$A$5:$A$204,B131)&lt;&gt;1),"SKU ausente ou desconhecido",IF(COUNTIFS(Produtos!$A$5:$A$204,B131,Produtos!$R$5:$R$204,1)&gt;0,"Revisar cadastro do produto",IF(OR(NOT(ISNUMBER(E131)),E131&lt;=0,NOT(ISNUMBER(G131)),G131&lt;=0,G131&lt;E131),"Recebimento ou validade inválida",IF(AND(F131&lt;&gt;"",OR(NOT(ISNUMBER(F131)),F131&lt;=0,F131&gt;E131)),"Fabricação inválida ou posterior ao recebimento",IF(OR(NOT(ISNUMBER(K131)),K131&lt;0,NOT(ISNUMBER(I131)),I131&lt;0),"Quantidade recebida ou custo inválido",IF(AND(M131&lt;&gt;"Liberado",M131&lt;&gt;"Quarentena",M131&lt;&gt;"Bloqueado",M131&lt;&gt;"Esgotado"),"Status de lote inválido",""))))))))</x:f>
      </x:c>
      <x:c r="T131" s="163" t="n">
        <x:f>IF(A131="",0,COUNTIFS(Movimentacoes!$D$5:$D$304,A131,Movimentacoes!$P$5:$P$304,1))</x:f>
        <x:v>0</x:v>
      </x:c>
      <x:c r="U131" s="163" t="n">
        <x:f>IF(COUNTA(A131:B131,D131:G131,I131,K131,M131,Q131,AB131:AD131)=0,0,IF(OR(S131&lt;&gt;"",T131&gt;0),1,IF(ISNUMBER(J131),IF(OR(J131&lt;0,AND(J131&gt;0,M131="Esgotado")),1,0),0)))</x:f>
        <x:v>0</x:v>
      </x:c>
      <x:c r="V131" s="163" t="str">
        <x:f>IF(A131="","",IF(OR(U131&gt;0,Listas!$B$13&lt;&gt;"OK"),"n.a.",IF(AND(J131&gt;0,M131="Liberado",G131&gt;=Listas!$B$6),J131,0)))</x:f>
      </x:c>
      <x:c r="W131" s="163" t="str">
        <x:f>IF(A131="","",IF(OR(U131&gt;0,Listas!$B$13&lt;&gt;"OK"),"n.a.",V131*K131))</x:f>
      </x:c>
      <x:c r="X131" s="167" t="n">
        <x:f>IF(COUNTA(A131:B131,D131:G131,I131,K131,M131,Q131,AB131:AD131)=0,0,IF(OR(Listas!$B$19="Todos",B131=Listas!$B$19,COUNTIFS(Produtos!$A$5:$A$204,B131)&lt;&gt;1),1,0))</x:f>
        <x:v>0</x:v>
      </x:c>
      <x:c r="Y131" s="167" t="str">
        <x:f>IF(X131=0,"",IF(Listas!$B$13&lt;&gt;"OK","Revisar parâmetros",IF(U131&gt;0,IF(S131&lt;&gt;"",S131,IF(T131&gt;0,"Revisar movimentos",IF(AND(ISNUMBER(J131),J131&lt;0),"Saldo negativo","Status esgotado com saldo"))),IF(AG131&lt;&gt;"",AG131&amp;". ","")&amp;IF(J131&lt;=0,"",IF(N131="VENCIDO","Validade vencida. ","")&amp;IF(M131="Quarentena","Em quarentena. ","")&amp;IF(M131="Bloqueado","Lote bloqueado. ","")&amp;IF(N131="CRÍTICO","Validade crítica. ","")&amp;IF(N131="VENCE NA JANELA","Vence na janela. ","")))))</x:f>
      </x:c>
      <x:c r="Z131" s="167" t="n">
        <x:f>IF(OR(X131=0,Y131=""),0,IF(OR(Listas!$B$13&lt;&gt;"OK",U131&gt;0,AH131&gt;0),1,IF(N131="VENCIDO",2,IF(OR(M131="Quarentena",M131="Bloqueado"),3,IF(N131="CRÍTICO",4,5)))))</x:f>
        <x:v>0</x:v>
      </x:c>
      <x:c r="AA131" s="167" t="n">
        <x:f>IF(Z131=0,0,COUNTIFS($Z$5:$Z$204,"&gt;0",$Z$5:$Z$204,"&lt;"&amp;Z131,$X$5:$X$204,1)+COUNTIFS($Z$5:Z131,Z131,$X$5:X131,1))</x:f>
        <x:v>0</x:v>
      </x:c>
      <x:c r="AB131" s="168"/>
      <x:c r="AC131" s="168"/>
      <x:c r="AD131" s="169"/>
      <x:c r="AE131" s="167" t="str">
        <x:f>IF(X131=0,"",IF(OR(U131&gt;0,Listas!$B$13&lt;&gt;"OK"),"Dados pendentes",IF(J131&lt;=0,"Sem saldo",IF(N131="VENCIDO","Vencidos",IF(OR(M131="Quarentena",M131="Bloqueado"),"Restritos vigentes",IF(OR(N131="CRÍTICO",N131="VENCE NA JANELA"),"Liberados na janela","Demais liberados"))))))</x:f>
      </x:c>
      <x:c r="AF131" s="167" t="str">
        <x:f>IF(A131&lt;&gt;"",A131,IF(U131&gt;0,"Sem ID (linha "&amp;ROW()&amp;")",""))</x:f>
      </x:c>
      <x:c r="AG131" s="167" t="str">
        <x:f>IF(AD131="","",IF(OR(NOT(ISNUMBER(AD131)),AD131&lt;=0),"Prazo da ação inválido",""))</x:f>
      </x:c>
      <x:c r="AH131" s="167" t="n">
        <x:f>IF(AG131="",0,1)</x:f>
        <x:v>0</x:v>
      </x:c>
    </x:row>
    <x:row r="132" ht="32" customHeight="1">
      <x:c r="A132" s="27"/>
      <x:c r="B132" s="27"/>
      <x:c r="C132" s="40" t="str">
        <x:f>IF($B132="","",IFERROR(INDEX(Produtos!$B$5:$B$204,MATCH($B132,Produtos!$A$5:$A$204,0)),""))</x:f>
      </x:c>
      <x:c r="D132" s="170"/>
      <x:c r="E132" s="179"/>
      <x:c r="F132" s="179"/>
      <x:c r="G132" s="179"/>
      <x:c r="H132" s="40" t="str">
        <x:f>IF(A132="","",IF(OR(S132&lt;&gt;"",Listas!$B$13&lt;&gt;"OK"),"n.a.",G132-Listas!$B$6))</x:f>
      </x:c>
      <x:c r="I132" s="40"/>
      <x:c r="J132" s="40" t="str">
        <x:f>IF(A132="","",IF(OR(S132&lt;&gt;"",T132&gt;0,Listas!$B$13&lt;&gt;"OK"),"n.a.",SUMIFS(Movimentacoes!$H$5:$H$304,Movimentacoes!$D$5:$D$304,A132,Movimentacoes!$B$5:$B$304,"&lt;="&amp;Listas!$B$6)))</x:f>
      </x:c>
      <x:c r="K132" s="180"/>
      <x:c r="L132" s="181" t="str">
        <x:f>IF(A132="","",IF(OR(U132&gt;0,Listas!$B$13&lt;&gt;"OK"),"n.a.",J132*K132))</x:f>
      </x:c>
      <x:c r="M132" s="27"/>
      <x:c r="N132" s="40" t="str">
        <x:f>IF(A132="","",IF(OR(U132&gt;0,Listas!$B$13&lt;&gt;"OK"),"REVISAR DADOS",IF(J132=0,"SEM SALDO",IF(G132&lt;Listas!$B$6,"VENCIDO",IF(H132&lt;=Listas!$B$7,"CRÍTICO",IF(H132&lt;=Listas!$B$8,"VENCE NA JANELA","OK"))))))</x:f>
      </x:c>
      <x:c r="O132" s="41" t="str">
        <x:f>IF(A132="","",IF(AND(ISNUMBER(V132),V132&gt;0),G132,""))</x:f>
      </x:c>
      <x:c r="P132" s="40" t="str">
        <x:f>IF(A132="","",IF(OR(U132&gt;0,Listas!$B$13&lt;&gt;"OK"),"REVISAR DADOS",IF(J132=0,"ARQUIVAR LOTE",IF(M132="Quarentena","DECIDIR LIBERAÇÃO",IF(M132="Bloqueado","SEGREGAR E INVESTIGAR",IF(M132="Esgotado","REVISAR STATUS COM SALDO",IF(N132="VENCIDO","SEGREGAR E AVALIAR DESTINAÇÃO",IF(OR(N132="CRÍTICO",N132="VENCE NA JANELA"),"PRIORIZAR FEFO","MANTER ROTAÇÃO"))))))))</x:f>
      </x:c>
      <x:c r="Q132" s="27"/>
      <x:c r="R132" s="181" t="str">
        <x:f>IF(A132="","",IF(OR(U132&gt;0,Listas!$B$13&lt;&gt;"OK"),"n.a.",IF(OR(N132="VENCIDO",N132="CRÍTICO",N132="VENCE NA JANELA",M132="Quarentena",M132="Bloqueado"),L132,0)))</x:f>
      </x:c>
      <x:c r="S132" s="163" t="str">
        <x:f>IF(COUNTA(A132:B132,D132:G132,I132,K132,M132,Q132,AB132:AD132)=0,"",IF(OR(A132="",COUNTIFS($A$5:$A$204,A132)&lt;&gt;1),"Lote ausente ou duplicado",IF(OR(B132="",COUNTIFS(Produtos!$A$5:$A$204,B132)&lt;&gt;1),"SKU ausente ou desconhecido",IF(COUNTIFS(Produtos!$A$5:$A$204,B132,Produtos!$R$5:$R$204,1)&gt;0,"Revisar cadastro do produto",IF(OR(NOT(ISNUMBER(E132)),E132&lt;=0,NOT(ISNUMBER(G132)),G132&lt;=0,G132&lt;E132),"Recebimento ou validade inválida",IF(AND(F132&lt;&gt;"",OR(NOT(ISNUMBER(F132)),F132&lt;=0,F132&gt;E132)),"Fabricação inválida ou posterior ao recebimento",IF(OR(NOT(ISNUMBER(K132)),K132&lt;0,NOT(ISNUMBER(I132)),I132&lt;0),"Quantidade recebida ou custo inválido",IF(AND(M132&lt;&gt;"Liberado",M132&lt;&gt;"Quarentena",M132&lt;&gt;"Bloqueado",M132&lt;&gt;"Esgotado"),"Status de lote inválido",""))))))))</x:f>
      </x:c>
      <x:c r="T132" s="163" t="n">
        <x:f>IF(A132="",0,COUNTIFS(Movimentacoes!$D$5:$D$304,A132,Movimentacoes!$P$5:$P$304,1))</x:f>
        <x:v>0</x:v>
      </x:c>
      <x:c r="U132" s="163" t="n">
        <x:f>IF(COUNTA(A132:B132,D132:G132,I132,K132,M132,Q132,AB132:AD132)=0,0,IF(OR(S132&lt;&gt;"",T132&gt;0),1,IF(ISNUMBER(J132),IF(OR(J132&lt;0,AND(J132&gt;0,M132="Esgotado")),1,0),0)))</x:f>
        <x:v>0</x:v>
      </x:c>
      <x:c r="V132" s="163" t="str">
        <x:f>IF(A132="","",IF(OR(U132&gt;0,Listas!$B$13&lt;&gt;"OK"),"n.a.",IF(AND(J132&gt;0,M132="Liberado",G132&gt;=Listas!$B$6),J132,0)))</x:f>
      </x:c>
      <x:c r="W132" s="163" t="str">
        <x:f>IF(A132="","",IF(OR(U132&gt;0,Listas!$B$13&lt;&gt;"OK"),"n.a.",V132*K132))</x:f>
      </x:c>
      <x:c r="X132" s="167" t="n">
        <x:f>IF(COUNTA(A132:B132,D132:G132,I132,K132,M132,Q132,AB132:AD132)=0,0,IF(OR(Listas!$B$19="Todos",B132=Listas!$B$19,COUNTIFS(Produtos!$A$5:$A$204,B132)&lt;&gt;1),1,0))</x:f>
        <x:v>0</x:v>
      </x:c>
      <x:c r="Y132" s="167" t="str">
        <x:f>IF(X132=0,"",IF(Listas!$B$13&lt;&gt;"OK","Revisar parâmetros",IF(U132&gt;0,IF(S132&lt;&gt;"",S132,IF(T132&gt;0,"Revisar movimentos",IF(AND(ISNUMBER(J132),J132&lt;0),"Saldo negativo","Status esgotado com saldo"))),IF(AG132&lt;&gt;"",AG132&amp;". ","")&amp;IF(J132&lt;=0,"",IF(N132="VENCIDO","Validade vencida. ","")&amp;IF(M132="Quarentena","Em quarentena. ","")&amp;IF(M132="Bloqueado","Lote bloqueado. ","")&amp;IF(N132="CRÍTICO","Validade crítica. ","")&amp;IF(N132="VENCE NA JANELA","Vence na janela. ","")))))</x:f>
      </x:c>
      <x:c r="Z132" s="167" t="n">
        <x:f>IF(OR(X132=0,Y132=""),0,IF(OR(Listas!$B$13&lt;&gt;"OK",U132&gt;0,AH132&gt;0),1,IF(N132="VENCIDO",2,IF(OR(M132="Quarentena",M132="Bloqueado"),3,IF(N132="CRÍTICO",4,5)))))</x:f>
        <x:v>0</x:v>
      </x:c>
      <x:c r="AA132" s="167" t="n">
        <x:f>IF(Z132=0,0,COUNTIFS($Z$5:$Z$204,"&gt;0",$Z$5:$Z$204,"&lt;"&amp;Z132,$X$5:$X$204,1)+COUNTIFS($Z$5:Z132,Z132,$X$5:X132,1))</x:f>
        <x:v>0</x:v>
      </x:c>
      <x:c r="AB132" s="168"/>
      <x:c r="AC132" s="168"/>
      <x:c r="AD132" s="169"/>
      <x:c r="AE132" s="167" t="str">
        <x:f>IF(X132=0,"",IF(OR(U132&gt;0,Listas!$B$13&lt;&gt;"OK"),"Dados pendentes",IF(J132&lt;=0,"Sem saldo",IF(N132="VENCIDO","Vencidos",IF(OR(M132="Quarentena",M132="Bloqueado"),"Restritos vigentes",IF(OR(N132="CRÍTICO",N132="VENCE NA JANELA"),"Liberados na janela","Demais liberados"))))))</x:f>
      </x:c>
      <x:c r="AF132" s="167" t="str">
        <x:f>IF(A132&lt;&gt;"",A132,IF(U132&gt;0,"Sem ID (linha "&amp;ROW()&amp;")",""))</x:f>
      </x:c>
      <x:c r="AG132" s="167" t="str">
        <x:f>IF(AD132="","",IF(OR(NOT(ISNUMBER(AD132)),AD132&lt;=0),"Prazo da ação inválido",""))</x:f>
      </x:c>
      <x:c r="AH132" s="167" t="n">
        <x:f>IF(AG132="",0,1)</x:f>
        <x:v>0</x:v>
      </x:c>
    </x:row>
    <x:row r="133" ht="32" customHeight="1">
      <x:c r="A133" s="27"/>
      <x:c r="B133" s="27"/>
      <x:c r="C133" s="40" t="str">
        <x:f>IF($B133="","",IFERROR(INDEX(Produtos!$B$5:$B$204,MATCH($B133,Produtos!$A$5:$A$204,0)),""))</x:f>
      </x:c>
      <x:c r="D133" s="170"/>
      <x:c r="E133" s="179"/>
      <x:c r="F133" s="179"/>
      <x:c r="G133" s="179"/>
      <x:c r="H133" s="40" t="str">
        <x:f>IF(A133="","",IF(OR(S133&lt;&gt;"",Listas!$B$13&lt;&gt;"OK"),"n.a.",G133-Listas!$B$6))</x:f>
      </x:c>
      <x:c r="I133" s="40"/>
      <x:c r="J133" s="40" t="str">
        <x:f>IF(A133="","",IF(OR(S133&lt;&gt;"",T133&gt;0,Listas!$B$13&lt;&gt;"OK"),"n.a.",SUMIFS(Movimentacoes!$H$5:$H$304,Movimentacoes!$D$5:$D$304,A133,Movimentacoes!$B$5:$B$304,"&lt;="&amp;Listas!$B$6)))</x:f>
      </x:c>
      <x:c r="K133" s="180"/>
      <x:c r="L133" s="181" t="str">
        <x:f>IF(A133="","",IF(OR(U133&gt;0,Listas!$B$13&lt;&gt;"OK"),"n.a.",J133*K133))</x:f>
      </x:c>
      <x:c r="M133" s="27"/>
      <x:c r="N133" s="40" t="str">
        <x:f>IF(A133="","",IF(OR(U133&gt;0,Listas!$B$13&lt;&gt;"OK"),"REVISAR DADOS",IF(J133=0,"SEM SALDO",IF(G133&lt;Listas!$B$6,"VENCIDO",IF(H133&lt;=Listas!$B$7,"CRÍTICO",IF(H133&lt;=Listas!$B$8,"VENCE NA JANELA","OK"))))))</x:f>
      </x:c>
      <x:c r="O133" s="41" t="str">
        <x:f>IF(A133="","",IF(AND(ISNUMBER(V133),V133&gt;0),G133,""))</x:f>
      </x:c>
      <x:c r="P133" s="40" t="str">
        <x:f>IF(A133="","",IF(OR(U133&gt;0,Listas!$B$13&lt;&gt;"OK"),"REVISAR DADOS",IF(J133=0,"ARQUIVAR LOTE",IF(M133="Quarentena","DECIDIR LIBERAÇÃO",IF(M133="Bloqueado","SEGREGAR E INVESTIGAR",IF(M133="Esgotado","REVISAR STATUS COM SALDO",IF(N133="VENCIDO","SEGREGAR E AVALIAR DESTINAÇÃO",IF(OR(N133="CRÍTICO",N133="VENCE NA JANELA"),"PRIORIZAR FEFO","MANTER ROTAÇÃO"))))))))</x:f>
      </x:c>
      <x:c r="Q133" s="27"/>
      <x:c r="R133" s="181" t="str">
        <x:f>IF(A133="","",IF(OR(U133&gt;0,Listas!$B$13&lt;&gt;"OK"),"n.a.",IF(OR(N133="VENCIDO",N133="CRÍTICO",N133="VENCE NA JANELA",M133="Quarentena",M133="Bloqueado"),L133,0)))</x:f>
      </x:c>
      <x:c r="S133" s="163" t="str">
        <x:f>IF(COUNTA(A133:B133,D133:G133,I133,K133,M133,Q133,AB133:AD133)=0,"",IF(OR(A133="",COUNTIFS($A$5:$A$204,A133)&lt;&gt;1),"Lote ausente ou duplicado",IF(OR(B133="",COUNTIFS(Produtos!$A$5:$A$204,B133)&lt;&gt;1),"SKU ausente ou desconhecido",IF(COUNTIFS(Produtos!$A$5:$A$204,B133,Produtos!$R$5:$R$204,1)&gt;0,"Revisar cadastro do produto",IF(OR(NOT(ISNUMBER(E133)),E133&lt;=0,NOT(ISNUMBER(G133)),G133&lt;=0,G133&lt;E133),"Recebimento ou validade inválida",IF(AND(F133&lt;&gt;"",OR(NOT(ISNUMBER(F133)),F133&lt;=0,F133&gt;E133)),"Fabricação inválida ou posterior ao recebimento",IF(OR(NOT(ISNUMBER(K133)),K133&lt;0,NOT(ISNUMBER(I133)),I133&lt;0),"Quantidade recebida ou custo inválido",IF(AND(M133&lt;&gt;"Liberado",M133&lt;&gt;"Quarentena",M133&lt;&gt;"Bloqueado",M133&lt;&gt;"Esgotado"),"Status de lote inválido",""))))))))</x:f>
      </x:c>
      <x:c r="T133" s="163" t="n">
        <x:f>IF(A133="",0,COUNTIFS(Movimentacoes!$D$5:$D$304,A133,Movimentacoes!$P$5:$P$304,1))</x:f>
        <x:v>0</x:v>
      </x:c>
      <x:c r="U133" s="163" t="n">
        <x:f>IF(COUNTA(A133:B133,D133:G133,I133,K133,M133,Q133,AB133:AD133)=0,0,IF(OR(S133&lt;&gt;"",T133&gt;0),1,IF(ISNUMBER(J133),IF(OR(J133&lt;0,AND(J133&gt;0,M133="Esgotado")),1,0),0)))</x:f>
        <x:v>0</x:v>
      </x:c>
      <x:c r="V133" s="163" t="str">
        <x:f>IF(A133="","",IF(OR(U133&gt;0,Listas!$B$13&lt;&gt;"OK"),"n.a.",IF(AND(J133&gt;0,M133="Liberado",G133&gt;=Listas!$B$6),J133,0)))</x:f>
      </x:c>
      <x:c r="W133" s="163" t="str">
        <x:f>IF(A133="","",IF(OR(U133&gt;0,Listas!$B$13&lt;&gt;"OK"),"n.a.",V133*K133))</x:f>
      </x:c>
      <x:c r="X133" s="167" t="n">
        <x:f>IF(COUNTA(A133:B133,D133:G133,I133,K133,M133,Q133,AB133:AD133)=0,0,IF(OR(Listas!$B$19="Todos",B133=Listas!$B$19,COUNTIFS(Produtos!$A$5:$A$204,B133)&lt;&gt;1),1,0))</x:f>
        <x:v>0</x:v>
      </x:c>
      <x:c r="Y133" s="167" t="str">
        <x:f>IF(X133=0,"",IF(Listas!$B$13&lt;&gt;"OK","Revisar parâmetros",IF(U133&gt;0,IF(S133&lt;&gt;"",S133,IF(T133&gt;0,"Revisar movimentos",IF(AND(ISNUMBER(J133),J133&lt;0),"Saldo negativo","Status esgotado com saldo"))),IF(AG133&lt;&gt;"",AG133&amp;". ","")&amp;IF(J133&lt;=0,"",IF(N133="VENCIDO","Validade vencida. ","")&amp;IF(M133="Quarentena","Em quarentena. ","")&amp;IF(M133="Bloqueado","Lote bloqueado. ","")&amp;IF(N133="CRÍTICO","Validade crítica. ","")&amp;IF(N133="VENCE NA JANELA","Vence na janela. ","")))))</x:f>
      </x:c>
      <x:c r="Z133" s="167" t="n">
        <x:f>IF(OR(X133=0,Y133=""),0,IF(OR(Listas!$B$13&lt;&gt;"OK",U133&gt;0,AH133&gt;0),1,IF(N133="VENCIDO",2,IF(OR(M133="Quarentena",M133="Bloqueado"),3,IF(N133="CRÍTICO",4,5)))))</x:f>
        <x:v>0</x:v>
      </x:c>
      <x:c r="AA133" s="167" t="n">
        <x:f>IF(Z133=0,0,COUNTIFS($Z$5:$Z$204,"&gt;0",$Z$5:$Z$204,"&lt;"&amp;Z133,$X$5:$X$204,1)+COUNTIFS($Z$5:Z133,Z133,$X$5:X133,1))</x:f>
        <x:v>0</x:v>
      </x:c>
      <x:c r="AB133" s="168"/>
      <x:c r="AC133" s="168"/>
      <x:c r="AD133" s="169"/>
      <x:c r="AE133" s="167" t="str">
        <x:f>IF(X133=0,"",IF(OR(U133&gt;0,Listas!$B$13&lt;&gt;"OK"),"Dados pendentes",IF(J133&lt;=0,"Sem saldo",IF(N133="VENCIDO","Vencidos",IF(OR(M133="Quarentena",M133="Bloqueado"),"Restritos vigentes",IF(OR(N133="CRÍTICO",N133="VENCE NA JANELA"),"Liberados na janela","Demais liberados"))))))</x:f>
      </x:c>
      <x:c r="AF133" s="167" t="str">
        <x:f>IF(A133&lt;&gt;"",A133,IF(U133&gt;0,"Sem ID (linha "&amp;ROW()&amp;")",""))</x:f>
      </x:c>
      <x:c r="AG133" s="167" t="str">
        <x:f>IF(AD133="","",IF(OR(NOT(ISNUMBER(AD133)),AD133&lt;=0),"Prazo da ação inválido",""))</x:f>
      </x:c>
      <x:c r="AH133" s="167" t="n">
        <x:f>IF(AG133="",0,1)</x:f>
        <x:v>0</x:v>
      </x:c>
    </x:row>
    <x:row r="134" ht="32" customHeight="1">
      <x:c r="A134" s="27"/>
      <x:c r="B134" s="27"/>
      <x:c r="C134" s="40" t="str">
        <x:f>IF($B134="","",IFERROR(INDEX(Produtos!$B$5:$B$204,MATCH($B134,Produtos!$A$5:$A$204,0)),""))</x:f>
      </x:c>
      <x:c r="D134" s="170"/>
      <x:c r="E134" s="179"/>
      <x:c r="F134" s="179"/>
      <x:c r="G134" s="179"/>
      <x:c r="H134" s="40" t="str">
        <x:f>IF(A134="","",IF(OR(S134&lt;&gt;"",Listas!$B$13&lt;&gt;"OK"),"n.a.",G134-Listas!$B$6))</x:f>
      </x:c>
      <x:c r="I134" s="40"/>
      <x:c r="J134" s="40" t="str">
        <x:f>IF(A134="","",IF(OR(S134&lt;&gt;"",T134&gt;0,Listas!$B$13&lt;&gt;"OK"),"n.a.",SUMIFS(Movimentacoes!$H$5:$H$304,Movimentacoes!$D$5:$D$304,A134,Movimentacoes!$B$5:$B$304,"&lt;="&amp;Listas!$B$6)))</x:f>
      </x:c>
      <x:c r="K134" s="180"/>
      <x:c r="L134" s="181" t="str">
        <x:f>IF(A134="","",IF(OR(U134&gt;0,Listas!$B$13&lt;&gt;"OK"),"n.a.",J134*K134))</x:f>
      </x:c>
      <x:c r="M134" s="27"/>
      <x:c r="N134" s="40" t="str">
        <x:f>IF(A134="","",IF(OR(U134&gt;0,Listas!$B$13&lt;&gt;"OK"),"REVISAR DADOS",IF(J134=0,"SEM SALDO",IF(G134&lt;Listas!$B$6,"VENCIDO",IF(H134&lt;=Listas!$B$7,"CRÍTICO",IF(H134&lt;=Listas!$B$8,"VENCE NA JANELA","OK"))))))</x:f>
      </x:c>
      <x:c r="O134" s="41" t="str">
        <x:f>IF(A134="","",IF(AND(ISNUMBER(V134),V134&gt;0),G134,""))</x:f>
      </x:c>
      <x:c r="P134" s="40" t="str">
        <x:f>IF(A134="","",IF(OR(U134&gt;0,Listas!$B$13&lt;&gt;"OK"),"REVISAR DADOS",IF(J134=0,"ARQUIVAR LOTE",IF(M134="Quarentena","DECIDIR LIBERAÇÃO",IF(M134="Bloqueado","SEGREGAR E INVESTIGAR",IF(M134="Esgotado","REVISAR STATUS COM SALDO",IF(N134="VENCIDO","SEGREGAR E AVALIAR DESTINAÇÃO",IF(OR(N134="CRÍTICO",N134="VENCE NA JANELA"),"PRIORIZAR FEFO","MANTER ROTAÇÃO"))))))))</x:f>
      </x:c>
      <x:c r="Q134" s="27"/>
      <x:c r="R134" s="181" t="str">
        <x:f>IF(A134="","",IF(OR(U134&gt;0,Listas!$B$13&lt;&gt;"OK"),"n.a.",IF(OR(N134="VENCIDO",N134="CRÍTICO",N134="VENCE NA JANELA",M134="Quarentena",M134="Bloqueado"),L134,0)))</x:f>
      </x:c>
      <x:c r="S134" s="163" t="str">
        <x:f>IF(COUNTA(A134:B134,D134:G134,I134,K134,M134,Q134,AB134:AD134)=0,"",IF(OR(A134="",COUNTIFS($A$5:$A$204,A134)&lt;&gt;1),"Lote ausente ou duplicado",IF(OR(B134="",COUNTIFS(Produtos!$A$5:$A$204,B134)&lt;&gt;1),"SKU ausente ou desconhecido",IF(COUNTIFS(Produtos!$A$5:$A$204,B134,Produtos!$R$5:$R$204,1)&gt;0,"Revisar cadastro do produto",IF(OR(NOT(ISNUMBER(E134)),E134&lt;=0,NOT(ISNUMBER(G134)),G134&lt;=0,G134&lt;E134),"Recebimento ou validade inválida",IF(AND(F134&lt;&gt;"",OR(NOT(ISNUMBER(F134)),F134&lt;=0,F134&gt;E134)),"Fabricação inválida ou posterior ao recebimento",IF(OR(NOT(ISNUMBER(K134)),K134&lt;0,NOT(ISNUMBER(I134)),I134&lt;0),"Quantidade recebida ou custo inválido",IF(AND(M134&lt;&gt;"Liberado",M134&lt;&gt;"Quarentena",M134&lt;&gt;"Bloqueado",M134&lt;&gt;"Esgotado"),"Status de lote inválido",""))))))))</x:f>
      </x:c>
      <x:c r="T134" s="163" t="n">
        <x:f>IF(A134="",0,COUNTIFS(Movimentacoes!$D$5:$D$304,A134,Movimentacoes!$P$5:$P$304,1))</x:f>
        <x:v>0</x:v>
      </x:c>
      <x:c r="U134" s="163" t="n">
        <x:f>IF(COUNTA(A134:B134,D134:G134,I134,K134,M134,Q134,AB134:AD134)=0,0,IF(OR(S134&lt;&gt;"",T134&gt;0),1,IF(ISNUMBER(J134),IF(OR(J134&lt;0,AND(J134&gt;0,M134="Esgotado")),1,0),0)))</x:f>
        <x:v>0</x:v>
      </x:c>
      <x:c r="V134" s="163" t="str">
        <x:f>IF(A134="","",IF(OR(U134&gt;0,Listas!$B$13&lt;&gt;"OK"),"n.a.",IF(AND(J134&gt;0,M134="Liberado",G134&gt;=Listas!$B$6),J134,0)))</x:f>
      </x:c>
      <x:c r="W134" s="163" t="str">
        <x:f>IF(A134="","",IF(OR(U134&gt;0,Listas!$B$13&lt;&gt;"OK"),"n.a.",V134*K134))</x:f>
      </x:c>
      <x:c r="X134" s="167" t="n">
        <x:f>IF(COUNTA(A134:B134,D134:G134,I134,K134,M134,Q134,AB134:AD134)=0,0,IF(OR(Listas!$B$19="Todos",B134=Listas!$B$19,COUNTIFS(Produtos!$A$5:$A$204,B134)&lt;&gt;1),1,0))</x:f>
        <x:v>0</x:v>
      </x:c>
      <x:c r="Y134" s="167" t="str">
        <x:f>IF(X134=0,"",IF(Listas!$B$13&lt;&gt;"OK","Revisar parâmetros",IF(U134&gt;0,IF(S134&lt;&gt;"",S134,IF(T134&gt;0,"Revisar movimentos",IF(AND(ISNUMBER(J134),J134&lt;0),"Saldo negativo","Status esgotado com saldo"))),IF(AG134&lt;&gt;"",AG134&amp;". ","")&amp;IF(J134&lt;=0,"",IF(N134="VENCIDO","Validade vencida. ","")&amp;IF(M134="Quarentena","Em quarentena. ","")&amp;IF(M134="Bloqueado","Lote bloqueado. ","")&amp;IF(N134="CRÍTICO","Validade crítica. ","")&amp;IF(N134="VENCE NA JANELA","Vence na janela. ","")))))</x:f>
      </x:c>
      <x:c r="Z134" s="167" t="n">
        <x:f>IF(OR(X134=0,Y134=""),0,IF(OR(Listas!$B$13&lt;&gt;"OK",U134&gt;0,AH134&gt;0),1,IF(N134="VENCIDO",2,IF(OR(M134="Quarentena",M134="Bloqueado"),3,IF(N134="CRÍTICO",4,5)))))</x:f>
        <x:v>0</x:v>
      </x:c>
      <x:c r="AA134" s="167" t="n">
        <x:f>IF(Z134=0,0,COUNTIFS($Z$5:$Z$204,"&gt;0",$Z$5:$Z$204,"&lt;"&amp;Z134,$X$5:$X$204,1)+COUNTIFS($Z$5:Z134,Z134,$X$5:X134,1))</x:f>
        <x:v>0</x:v>
      </x:c>
      <x:c r="AB134" s="168"/>
      <x:c r="AC134" s="168"/>
      <x:c r="AD134" s="169"/>
      <x:c r="AE134" s="167" t="str">
        <x:f>IF(X134=0,"",IF(OR(U134&gt;0,Listas!$B$13&lt;&gt;"OK"),"Dados pendentes",IF(J134&lt;=0,"Sem saldo",IF(N134="VENCIDO","Vencidos",IF(OR(M134="Quarentena",M134="Bloqueado"),"Restritos vigentes",IF(OR(N134="CRÍTICO",N134="VENCE NA JANELA"),"Liberados na janela","Demais liberados"))))))</x:f>
      </x:c>
      <x:c r="AF134" s="167" t="str">
        <x:f>IF(A134&lt;&gt;"",A134,IF(U134&gt;0,"Sem ID (linha "&amp;ROW()&amp;")",""))</x:f>
      </x:c>
      <x:c r="AG134" s="167" t="str">
        <x:f>IF(AD134="","",IF(OR(NOT(ISNUMBER(AD134)),AD134&lt;=0),"Prazo da ação inválido",""))</x:f>
      </x:c>
      <x:c r="AH134" s="167" t="n">
        <x:f>IF(AG134="",0,1)</x:f>
        <x:v>0</x:v>
      </x:c>
    </x:row>
    <x:row r="135" ht="32" customHeight="1">
      <x:c r="A135" s="27"/>
      <x:c r="B135" s="27"/>
      <x:c r="C135" s="40" t="str">
        <x:f>IF($B135="","",IFERROR(INDEX(Produtos!$B$5:$B$204,MATCH($B135,Produtos!$A$5:$A$204,0)),""))</x:f>
      </x:c>
      <x:c r="D135" s="170"/>
      <x:c r="E135" s="179"/>
      <x:c r="F135" s="179"/>
      <x:c r="G135" s="179"/>
      <x:c r="H135" s="40" t="str">
        <x:f>IF(A135="","",IF(OR(S135&lt;&gt;"",Listas!$B$13&lt;&gt;"OK"),"n.a.",G135-Listas!$B$6))</x:f>
      </x:c>
      <x:c r="I135" s="40"/>
      <x:c r="J135" s="40" t="str">
        <x:f>IF(A135="","",IF(OR(S135&lt;&gt;"",T135&gt;0,Listas!$B$13&lt;&gt;"OK"),"n.a.",SUMIFS(Movimentacoes!$H$5:$H$304,Movimentacoes!$D$5:$D$304,A135,Movimentacoes!$B$5:$B$304,"&lt;="&amp;Listas!$B$6)))</x:f>
      </x:c>
      <x:c r="K135" s="180"/>
      <x:c r="L135" s="181" t="str">
        <x:f>IF(A135="","",IF(OR(U135&gt;0,Listas!$B$13&lt;&gt;"OK"),"n.a.",J135*K135))</x:f>
      </x:c>
      <x:c r="M135" s="27"/>
      <x:c r="N135" s="40" t="str">
        <x:f>IF(A135="","",IF(OR(U135&gt;0,Listas!$B$13&lt;&gt;"OK"),"REVISAR DADOS",IF(J135=0,"SEM SALDO",IF(G135&lt;Listas!$B$6,"VENCIDO",IF(H135&lt;=Listas!$B$7,"CRÍTICO",IF(H135&lt;=Listas!$B$8,"VENCE NA JANELA","OK"))))))</x:f>
      </x:c>
      <x:c r="O135" s="41" t="str">
        <x:f>IF(A135="","",IF(AND(ISNUMBER(V135),V135&gt;0),G135,""))</x:f>
      </x:c>
      <x:c r="P135" s="40" t="str">
        <x:f>IF(A135="","",IF(OR(U135&gt;0,Listas!$B$13&lt;&gt;"OK"),"REVISAR DADOS",IF(J135=0,"ARQUIVAR LOTE",IF(M135="Quarentena","DECIDIR LIBERAÇÃO",IF(M135="Bloqueado","SEGREGAR E INVESTIGAR",IF(M135="Esgotado","REVISAR STATUS COM SALDO",IF(N135="VENCIDO","SEGREGAR E AVALIAR DESTINAÇÃO",IF(OR(N135="CRÍTICO",N135="VENCE NA JANELA"),"PRIORIZAR FEFO","MANTER ROTAÇÃO"))))))))</x:f>
      </x:c>
      <x:c r="Q135" s="27"/>
      <x:c r="R135" s="181" t="str">
        <x:f>IF(A135="","",IF(OR(U135&gt;0,Listas!$B$13&lt;&gt;"OK"),"n.a.",IF(OR(N135="VENCIDO",N135="CRÍTICO",N135="VENCE NA JANELA",M135="Quarentena",M135="Bloqueado"),L135,0)))</x:f>
      </x:c>
      <x:c r="S135" s="163" t="str">
        <x:f>IF(COUNTA(A135:B135,D135:G135,I135,K135,M135,Q135,AB135:AD135)=0,"",IF(OR(A135="",COUNTIFS($A$5:$A$204,A135)&lt;&gt;1),"Lote ausente ou duplicado",IF(OR(B135="",COUNTIFS(Produtos!$A$5:$A$204,B135)&lt;&gt;1),"SKU ausente ou desconhecido",IF(COUNTIFS(Produtos!$A$5:$A$204,B135,Produtos!$R$5:$R$204,1)&gt;0,"Revisar cadastro do produto",IF(OR(NOT(ISNUMBER(E135)),E135&lt;=0,NOT(ISNUMBER(G135)),G135&lt;=0,G135&lt;E135),"Recebimento ou validade inválida",IF(AND(F135&lt;&gt;"",OR(NOT(ISNUMBER(F135)),F135&lt;=0,F135&gt;E135)),"Fabricação inválida ou posterior ao recebimento",IF(OR(NOT(ISNUMBER(K135)),K135&lt;0,NOT(ISNUMBER(I135)),I135&lt;0),"Quantidade recebida ou custo inválido",IF(AND(M135&lt;&gt;"Liberado",M135&lt;&gt;"Quarentena",M135&lt;&gt;"Bloqueado",M135&lt;&gt;"Esgotado"),"Status de lote inválido",""))))))))</x:f>
      </x:c>
      <x:c r="T135" s="163" t="n">
        <x:f>IF(A135="",0,COUNTIFS(Movimentacoes!$D$5:$D$304,A135,Movimentacoes!$P$5:$P$304,1))</x:f>
        <x:v>0</x:v>
      </x:c>
      <x:c r="U135" s="163" t="n">
        <x:f>IF(COUNTA(A135:B135,D135:G135,I135,K135,M135,Q135,AB135:AD135)=0,0,IF(OR(S135&lt;&gt;"",T135&gt;0),1,IF(ISNUMBER(J135),IF(OR(J135&lt;0,AND(J135&gt;0,M135="Esgotado")),1,0),0)))</x:f>
        <x:v>0</x:v>
      </x:c>
      <x:c r="V135" s="163" t="str">
        <x:f>IF(A135="","",IF(OR(U135&gt;0,Listas!$B$13&lt;&gt;"OK"),"n.a.",IF(AND(J135&gt;0,M135="Liberado",G135&gt;=Listas!$B$6),J135,0)))</x:f>
      </x:c>
      <x:c r="W135" s="163" t="str">
        <x:f>IF(A135="","",IF(OR(U135&gt;0,Listas!$B$13&lt;&gt;"OK"),"n.a.",V135*K135))</x:f>
      </x:c>
      <x:c r="X135" s="167" t="n">
        <x:f>IF(COUNTA(A135:B135,D135:G135,I135,K135,M135,Q135,AB135:AD135)=0,0,IF(OR(Listas!$B$19="Todos",B135=Listas!$B$19,COUNTIFS(Produtos!$A$5:$A$204,B135)&lt;&gt;1),1,0))</x:f>
        <x:v>0</x:v>
      </x:c>
      <x:c r="Y135" s="167" t="str">
        <x:f>IF(X135=0,"",IF(Listas!$B$13&lt;&gt;"OK","Revisar parâmetros",IF(U135&gt;0,IF(S135&lt;&gt;"",S135,IF(T135&gt;0,"Revisar movimentos",IF(AND(ISNUMBER(J135),J135&lt;0),"Saldo negativo","Status esgotado com saldo"))),IF(AG135&lt;&gt;"",AG135&amp;". ","")&amp;IF(J135&lt;=0,"",IF(N135="VENCIDO","Validade vencida. ","")&amp;IF(M135="Quarentena","Em quarentena. ","")&amp;IF(M135="Bloqueado","Lote bloqueado. ","")&amp;IF(N135="CRÍTICO","Validade crítica. ","")&amp;IF(N135="VENCE NA JANELA","Vence na janela. ","")))))</x:f>
      </x:c>
      <x:c r="Z135" s="167" t="n">
        <x:f>IF(OR(X135=0,Y135=""),0,IF(OR(Listas!$B$13&lt;&gt;"OK",U135&gt;0,AH135&gt;0),1,IF(N135="VENCIDO",2,IF(OR(M135="Quarentena",M135="Bloqueado"),3,IF(N135="CRÍTICO",4,5)))))</x:f>
        <x:v>0</x:v>
      </x:c>
      <x:c r="AA135" s="167" t="n">
        <x:f>IF(Z135=0,0,COUNTIFS($Z$5:$Z$204,"&gt;0",$Z$5:$Z$204,"&lt;"&amp;Z135,$X$5:$X$204,1)+COUNTIFS($Z$5:Z135,Z135,$X$5:X135,1))</x:f>
        <x:v>0</x:v>
      </x:c>
      <x:c r="AB135" s="168"/>
      <x:c r="AC135" s="168"/>
      <x:c r="AD135" s="169"/>
      <x:c r="AE135" s="167" t="str">
        <x:f>IF(X135=0,"",IF(OR(U135&gt;0,Listas!$B$13&lt;&gt;"OK"),"Dados pendentes",IF(J135&lt;=0,"Sem saldo",IF(N135="VENCIDO","Vencidos",IF(OR(M135="Quarentena",M135="Bloqueado"),"Restritos vigentes",IF(OR(N135="CRÍTICO",N135="VENCE NA JANELA"),"Liberados na janela","Demais liberados"))))))</x:f>
      </x:c>
      <x:c r="AF135" s="167" t="str">
        <x:f>IF(A135&lt;&gt;"",A135,IF(U135&gt;0,"Sem ID (linha "&amp;ROW()&amp;")",""))</x:f>
      </x:c>
      <x:c r="AG135" s="167" t="str">
        <x:f>IF(AD135="","",IF(OR(NOT(ISNUMBER(AD135)),AD135&lt;=0),"Prazo da ação inválido",""))</x:f>
      </x:c>
      <x:c r="AH135" s="167" t="n">
        <x:f>IF(AG135="",0,1)</x:f>
        <x:v>0</x:v>
      </x:c>
    </x:row>
    <x:row r="136" ht="32" customHeight="1">
      <x:c r="A136" s="27"/>
      <x:c r="B136" s="27"/>
      <x:c r="C136" s="40" t="str">
        <x:f>IF($B136="","",IFERROR(INDEX(Produtos!$B$5:$B$204,MATCH($B136,Produtos!$A$5:$A$204,0)),""))</x:f>
      </x:c>
      <x:c r="D136" s="170"/>
      <x:c r="E136" s="179"/>
      <x:c r="F136" s="179"/>
      <x:c r="G136" s="179"/>
      <x:c r="H136" s="40" t="str">
        <x:f>IF(A136="","",IF(OR(S136&lt;&gt;"",Listas!$B$13&lt;&gt;"OK"),"n.a.",G136-Listas!$B$6))</x:f>
      </x:c>
      <x:c r="I136" s="40"/>
      <x:c r="J136" s="40" t="str">
        <x:f>IF(A136="","",IF(OR(S136&lt;&gt;"",T136&gt;0,Listas!$B$13&lt;&gt;"OK"),"n.a.",SUMIFS(Movimentacoes!$H$5:$H$304,Movimentacoes!$D$5:$D$304,A136,Movimentacoes!$B$5:$B$304,"&lt;="&amp;Listas!$B$6)))</x:f>
      </x:c>
      <x:c r="K136" s="180"/>
      <x:c r="L136" s="181" t="str">
        <x:f>IF(A136="","",IF(OR(U136&gt;0,Listas!$B$13&lt;&gt;"OK"),"n.a.",J136*K136))</x:f>
      </x:c>
      <x:c r="M136" s="27"/>
      <x:c r="N136" s="40" t="str">
        <x:f>IF(A136="","",IF(OR(U136&gt;0,Listas!$B$13&lt;&gt;"OK"),"REVISAR DADOS",IF(J136=0,"SEM SALDO",IF(G136&lt;Listas!$B$6,"VENCIDO",IF(H136&lt;=Listas!$B$7,"CRÍTICO",IF(H136&lt;=Listas!$B$8,"VENCE NA JANELA","OK"))))))</x:f>
      </x:c>
      <x:c r="O136" s="41" t="str">
        <x:f>IF(A136="","",IF(AND(ISNUMBER(V136),V136&gt;0),G136,""))</x:f>
      </x:c>
      <x:c r="P136" s="40" t="str">
        <x:f>IF(A136="","",IF(OR(U136&gt;0,Listas!$B$13&lt;&gt;"OK"),"REVISAR DADOS",IF(J136=0,"ARQUIVAR LOTE",IF(M136="Quarentena","DECIDIR LIBERAÇÃO",IF(M136="Bloqueado","SEGREGAR E INVESTIGAR",IF(M136="Esgotado","REVISAR STATUS COM SALDO",IF(N136="VENCIDO","SEGREGAR E AVALIAR DESTINAÇÃO",IF(OR(N136="CRÍTICO",N136="VENCE NA JANELA"),"PRIORIZAR FEFO","MANTER ROTAÇÃO"))))))))</x:f>
      </x:c>
      <x:c r="Q136" s="27"/>
      <x:c r="R136" s="181" t="str">
        <x:f>IF(A136="","",IF(OR(U136&gt;0,Listas!$B$13&lt;&gt;"OK"),"n.a.",IF(OR(N136="VENCIDO",N136="CRÍTICO",N136="VENCE NA JANELA",M136="Quarentena",M136="Bloqueado"),L136,0)))</x:f>
      </x:c>
      <x:c r="S136" s="163" t="str">
        <x:f>IF(COUNTA(A136:B136,D136:G136,I136,K136,M136,Q136,AB136:AD136)=0,"",IF(OR(A136="",COUNTIFS($A$5:$A$204,A136)&lt;&gt;1),"Lote ausente ou duplicado",IF(OR(B136="",COUNTIFS(Produtos!$A$5:$A$204,B136)&lt;&gt;1),"SKU ausente ou desconhecido",IF(COUNTIFS(Produtos!$A$5:$A$204,B136,Produtos!$R$5:$R$204,1)&gt;0,"Revisar cadastro do produto",IF(OR(NOT(ISNUMBER(E136)),E136&lt;=0,NOT(ISNUMBER(G136)),G136&lt;=0,G136&lt;E136),"Recebimento ou validade inválida",IF(AND(F136&lt;&gt;"",OR(NOT(ISNUMBER(F136)),F136&lt;=0,F136&gt;E136)),"Fabricação inválida ou posterior ao recebimento",IF(OR(NOT(ISNUMBER(K136)),K136&lt;0,NOT(ISNUMBER(I136)),I136&lt;0),"Quantidade recebida ou custo inválido",IF(AND(M136&lt;&gt;"Liberado",M136&lt;&gt;"Quarentena",M136&lt;&gt;"Bloqueado",M136&lt;&gt;"Esgotado"),"Status de lote inválido",""))))))))</x:f>
      </x:c>
      <x:c r="T136" s="163" t="n">
        <x:f>IF(A136="",0,COUNTIFS(Movimentacoes!$D$5:$D$304,A136,Movimentacoes!$P$5:$P$304,1))</x:f>
        <x:v>0</x:v>
      </x:c>
      <x:c r="U136" s="163" t="n">
        <x:f>IF(COUNTA(A136:B136,D136:G136,I136,K136,M136,Q136,AB136:AD136)=0,0,IF(OR(S136&lt;&gt;"",T136&gt;0),1,IF(ISNUMBER(J136),IF(OR(J136&lt;0,AND(J136&gt;0,M136="Esgotado")),1,0),0)))</x:f>
        <x:v>0</x:v>
      </x:c>
      <x:c r="V136" s="163" t="str">
        <x:f>IF(A136="","",IF(OR(U136&gt;0,Listas!$B$13&lt;&gt;"OK"),"n.a.",IF(AND(J136&gt;0,M136="Liberado",G136&gt;=Listas!$B$6),J136,0)))</x:f>
      </x:c>
      <x:c r="W136" s="163" t="str">
        <x:f>IF(A136="","",IF(OR(U136&gt;0,Listas!$B$13&lt;&gt;"OK"),"n.a.",V136*K136))</x:f>
      </x:c>
      <x:c r="X136" s="167" t="n">
        <x:f>IF(COUNTA(A136:B136,D136:G136,I136,K136,M136,Q136,AB136:AD136)=0,0,IF(OR(Listas!$B$19="Todos",B136=Listas!$B$19,COUNTIFS(Produtos!$A$5:$A$204,B136)&lt;&gt;1),1,0))</x:f>
        <x:v>0</x:v>
      </x:c>
      <x:c r="Y136" s="167" t="str">
        <x:f>IF(X136=0,"",IF(Listas!$B$13&lt;&gt;"OK","Revisar parâmetros",IF(U136&gt;0,IF(S136&lt;&gt;"",S136,IF(T136&gt;0,"Revisar movimentos",IF(AND(ISNUMBER(J136),J136&lt;0),"Saldo negativo","Status esgotado com saldo"))),IF(AG136&lt;&gt;"",AG136&amp;". ","")&amp;IF(J136&lt;=0,"",IF(N136="VENCIDO","Validade vencida. ","")&amp;IF(M136="Quarentena","Em quarentena. ","")&amp;IF(M136="Bloqueado","Lote bloqueado. ","")&amp;IF(N136="CRÍTICO","Validade crítica. ","")&amp;IF(N136="VENCE NA JANELA","Vence na janela. ","")))))</x:f>
      </x:c>
      <x:c r="Z136" s="167" t="n">
        <x:f>IF(OR(X136=0,Y136=""),0,IF(OR(Listas!$B$13&lt;&gt;"OK",U136&gt;0,AH136&gt;0),1,IF(N136="VENCIDO",2,IF(OR(M136="Quarentena",M136="Bloqueado"),3,IF(N136="CRÍTICO",4,5)))))</x:f>
        <x:v>0</x:v>
      </x:c>
      <x:c r="AA136" s="167" t="n">
        <x:f>IF(Z136=0,0,COUNTIFS($Z$5:$Z$204,"&gt;0",$Z$5:$Z$204,"&lt;"&amp;Z136,$X$5:$X$204,1)+COUNTIFS($Z$5:Z136,Z136,$X$5:X136,1))</x:f>
        <x:v>0</x:v>
      </x:c>
      <x:c r="AB136" s="168"/>
      <x:c r="AC136" s="168"/>
      <x:c r="AD136" s="169"/>
      <x:c r="AE136" s="167" t="str">
        <x:f>IF(X136=0,"",IF(OR(U136&gt;0,Listas!$B$13&lt;&gt;"OK"),"Dados pendentes",IF(J136&lt;=0,"Sem saldo",IF(N136="VENCIDO","Vencidos",IF(OR(M136="Quarentena",M136="Bloqueado"),"Restritos vigentes",IF(OR(N136="CRÍTICO",N136="VENCE NA JANELA"),"Liberados na janela","Demais liberados"))))))</x:f>
      </x:c>
      <x:c r="AF136" s="167" t="str">
        <x:f>IF(A136&lt;&gt;"",A136,IF(U136&gt;0,"Sem ID (linha "&amp;ROW()&amp;")",""))</x:f>
      </x:c>
      <x:c r="AG136" s="167" t="str">
        <x:f>IF(AD136="","",IF(OR(NOT(ISNUMBER(AD136)),AD136&lt;=0),"Prazo da ação inválido",""))</x:f>
      </x:c>
      <x:c r="AH136" s="167" t="n">
        <x:f>IF(AG136="",0,1)</x:f>
        <x:v>0</x:v>
      </x:c>
    </x:row>
    <x:row r="137" ht="32" customHeight="1">
      <x:c r="A137" s="27"/>
      <x:c r="B137" s="27"/>
      <x:c r="C137" s="40" t="str">
        <x:f>IF($B137="","",IFERROR(INDEX(Produtos!$B$5:$B$204,MATCH($B137,Produtos!$A$5:$A$204,0)),""))</x:f>
      </x:c>
      <x:c r="D137" s="170"/>
      <x:c r="E137" s="179"/>
      <x:c r="F137" s="179"/>
      <x:c r="G137" s="179"/>
      <x:c r="H137" s="40" t="str">
        <x:f>IF(A137="","",IF(OR(S137&lt;&gt;"",Listas!$B$13&lt;&gt;"OK"),"n.a.",G137-Listas!$B$6))</x:f>
      </x:c>
      <x:c r="I137" s="40"/>
      <x:c r="J137" s="40" t="str">
        <x:f>IF(A137="","",IF(OR(S137&lt;&gt;"",T137&gt;0,Listas!$B$13&lt;&gt;"OK"),"n.a.",SUMIFS(Movimentacoes!$H$5:$H$304,Movimentacoes!$D$5:$D$304,A137,Movimentacoes!$B$5:$B$304,"&lt;="&amp;Listas!$B$6)))</x:f>
      </x:c>
      <x:c r="K137" s="180"/>
      <x:c r="L137" s="181" t="str">
        <x:f>IF(A137="","",IF(OR(U137&gt;0,Listas!$B$13&lt;&gt;"OK"),"n.a.",J137*K137))</x:f>
      </x:c>
      <x:c r="M137" s="27"/>
      <x:c r="N137" s="40" t="str">
        <x:f>IF(A137="","",IF(OR(U137&gt;0,Listas!$B$13&lt;&gt;"OK"),"REVISAR DADOS",IF(J137=0,"SEM SALDO",IF(G137&lt;Listas!$B$6,"VENCIDO",IF(H137&lt;=Listas!$B$7,"CRÍTICO",IF(H137&lt;=Listas!$B$8,"VENCE NA JANELA","OK"))))))</x:f>
      </x:c>
      <x:c r="O137" s="41" t="str">
        <x:f>IF(A137="","",IF(AND(ISNUMBER(V137),V137&gt;0),G137,""))</x:f>
      </x:c>
      <x:c r="P137" s="40" t="str">
        <x:f>IF(A137="","",IF(OR(U137&gt;0,Listas!$B$13&lt;&gt;"OK"),"REVISAR DADOS",IF(J137=0,"ARQUIVAR LOTE",IF(M137="Quarentena","DECIDIR LIBERAÇÃO",IF(M137="Bloqueado","SEGREGAR E INVESTIGAR",IF(M137="Esgotado","REVISAR STATUS COM SALDO",IF(N137="VENCIDO","SEGREGAR E AVALIAR DESTINAÇÃO",IF(OR(N137="CRÍTICO",N137="VENCE NA JANELA"),"PRIORIZAR FEFO","MANTER ROTAÇÃO"))))))))</x:f>
      </x:c>
      <x:c r="Q137" s="27"/>
      <x:c r="R137" s="181" t="str">
        <x:f>IF(A137="","",IF(OR(U137&gt;0,Listas!$B$13&lt;&gt;"OK"),"n.a.",IF(OR(N137="VENCIDO",N137="CRÍTICO",N137="VENCE NA JANELA",M137="Quarentena",M137="Bloqueado"),L137,0)))</x:f>
      </x:c>
      <x:c r="S137" s="163" t="str">
        <x:f>IF(COUNTA(A137:B137,D137:G137,I137,K137,M137,Q137,AB137:AD137)=0,"",IF(OR(A137="",COUNTIFS($A$5:$A$204,A137)&lt;&gt;1),"Lote ausente ou duplicado",IF(OR(B137="",COUNTIFS(Produtos!$A$5:$A$204,B137)&lt;&gt;1),"SKU ausente ou desconhecido",IF(COUNTIFS(Produtos!$A$5:$A$204,B137,Produtos!$R$5:$R$204,1)&gt;0,"Revisar cadastro do produto",IF(OR(NOT(ISNUMBER(E137)),E137&lt;=0,NOT(ISNUMBER(G137)),G137&lt;=0,G137&lt;E137),"Recebimento ou validade inválida",IF(AND(F137&lt;&gt;"",OR(NOT(ISNUMBER(F137)),F137&lt;=0,F137&gt;E137)),"Fabricação inválida ou posterior ao recebimento",IF(OR(NOT(ISNUMBER(K137)),K137&lt;0,NOT(ISNUMBER(I137)),I137&lt;0),"Quantidade recebida ou custo inválido",IF(AND(M137&lt;&gt;"Liberado",M137&lt;&gt;"Quarentena",M137&lt;&gt;"Bloqueado",M137&lt;&gt;"Esgotado"),"Status de lote inválido",""))))))))</x:f>
      </x:c>
      <x:c r="T137" s="163" t="n">
        <x:f>IF(A137="",0,COUNTIFS(Movimentacoes!$D$5:$D$304,A137,Movimentacoes!$P$5:$P$304,1))</x:f>
        <x:v>0</x:v>
      </x:c>
      <x:c r="U137" s="163" t="n">
        <x:f>IF(COUNTA(A137:B137,D137:G137,I137,K137,M137,Q137,AB137:AD137)=0,0,IF(OR(S137&lt;&gt;"",T137&gt;0),1,IF(ISNUMBER(J137),IF(OR(J137&lt;0,AND(J137&gt;0,M137="Esgotado")),1,0),0)))</x:f>
        <x:v>0</x:v>
      </x:c>
      <x:c r="V137" s="163" t="str">
        <x:f>IF(A137="","",IF(OR(U137&gt;0,Listas!$B$13&lt;&gt;"OK"),"n.a.",IF(AND(J137&gt;0,M137="Liberado",G137&gt;=Listas!$B$6),J137,0)))</x:f>
      </x:c>
      <x:c r="W137" s="163" t="str">
        <x:f>IF(A137="","",IF(OR(U137&gt;0,Listas!$B$13&lt;&gt;"OK"),"n.a.",V137*K137))</x:f>
      </x:c>
      <x:c r="X137" s="167" t="n">
        <x:f>IF(COUNTA(A137:B137,D137:G137,I137,K137,M137,Q137,AB137:AD137)=0,0,IF(OR(Listas!$B$19="Todos",B137=Listas!$B$19,COUNTIFS(Produtos!$A$5:$A$204,B137)&lt;&gt;1),1,0))</x:f>
        <x:v>0</x:v>
      </x:c>
      <x:c r="Y137" s="167" t="str">
        <x:f>IF(X137=0,"",IF(Listas!$B$13&lt;&gt;"OK","Revisar parâmetros",IF(U137&gt;0,IF(S137&lt;&gt;"",S137,IF(T137&gt;0,"Revisar movimentos",IF(AND(ISNUMBER(J137),J137&lt;0),"Saldo negativo","Status esgotado com saldo"))),IF(AG137&lt;&gt;"",AG137&amp;". ","")&amp;IF(J137&lt;=0,"",IF(N137="VENCIDO","Validade vencida. ","")&amp;IF(M137="Quarentena","Em quarentena. ","")&amp;IF(M137="Bloqueado","Lote bloqueado. ","")&amp;IF(N137="CRÍTICO","Validade crítica. ","")&amp;IF(N137="VENCE NA JANELA","Vence na janela. ","")))))</x:f>
      </x:c>
      <x:c r="Z137" s="167" t="n">
        <x:f>IF(OR(X137=0,Y137=""),0,IF(OR(Listas!$B$13&lt;&gt;"OK",U137&gt;0,AH137&gt;0),1,IF(N137="VENCIDO",2,IF(OR(M137="Quarentena",M137="Bloqueado"),3,IF(N137="CRÍTICO",4,5)))))</x:f>
        <x:v>0</x:v>
      </x:c>
      <x:c r="AA137" s="167" t="n">
        <x:f>IF(Z137=0,0,COUNTIFS($Z$5:$Z$204,"&gt;0",$Z$5:$Z$204,"&lt;"&amp;Z137,$X$5:$X$204,1)+COUNTIFS($Z$5:Z137,Z137,$X$5:X137,1))</x:f>
        <x:v>0</x:v>
      </x:c>
      <x:c r="AB137" s="168"/>
      <x:c r="AC137" s="168"/>
      <x:c r="AD137" s="169"/>
      <x:c r="AE137" s="167" t="str">
        <x:f>IF(X137=0,"",IF(OR(U137&gt;0,Listas!$B$13&lt;&gt;"OK"),"Dados pendentes",IF(J137&lt;=0,"Sem saldo",IF(N137="VENCIDO","Vencidos",IF(OR(M137="Quarentena",M137="Bloqueado"),"Restritos vigentes",IF(OR(N137="CRÍTICO",N137="VENCE NA JANELA"),"Liberados na janela","Demais liberados"))))))</x:f>
      </x:c>
      <x:c r="AF137" s="167" t="str">
        <x:f>IF(A137&lt;&gt;"",A137,IF(U137&gt;0,"Sem ID (linha "&amp;ROW()&amp;")",""))</x:f>
      </x:c>
      <x:c r="AG137" s="167" t="str">
        <x:f>IF(AD137="","",IF(OR(NOT(ISNUMBER(AD137)),AD137&lt;=0),"Prazo da ação inválido",""))</x:f>
      </x:c>
      <x:c r="AH137" s="167" t="n">
        <x:f>IF(AG137="",0,1)</x:f>
        <x:v>0</x:v>
      </x:c>
    </x:row>
    <x:row r="138" ht="32" customHeight="1">
      <x:c r="A138" s="27"/>
      <x:c r="B138" s="27"/>
      <x:c r="C138" s="40" t="str">
        <x:f>IF($B138="","",IFERROR(INDEX(Produtos!$B$5:$B$204,MATCH($B138,Produtos!$A$5:$A$204,0)),""))</x:f>
      </x:c>
      <x:c r="D138" s="170"/>
      <x:c r="E138" s="179"/>
      <x:c r="F138" s="179"/>
      <x:c r="G138" s="179"/>
      <x:c r="H138" s="40" t="str">
        <x:f>IF(A138="","",IF(OR(S138&lt;&gt;"",Listas!$B$13&lt;&gt;"OK"),"n.a.",G138-Listas!$B$6))</x:f>
      </x:c>
      <x:c r="I138" s="40"/>
      <x:c r="J138" s="40" t="str">
        <x:f>IF(A138="","",IF(OR(S138&lt;&gt;"",T138&gt;0,Listas!$B$13&lt;&gt;"OK"),"n.a.",SUMIFS(Movimentacoes!$H$5:$H$304,Movimentacoes!$D$5:$D$304,A138,Movimentacoes!$B$5:$B$304,"&lt;="&amp;Listas!$B$6)))</x:f>
      </x:c>
      <x:c r="K138" s="180"/>
      <x:c r="L138" s="181" t="str">
        <x:f>IF(A138="","",IF(OR(U138&gt;0,Listas!$B$13&lt;&gt;"OK"),"n.a.",J138*K138))</x:f>
      </x:c>
      <x:c r="M138" s="27"/>
      <x:c r="N138" s="40" t="str">
        <x:f>IF(A138="","",IF(OR(U138&gt;0,Listas!$B$13&lt;&gt;"OK"),"REVISAR DADOS",IF(J138=0,"SEM SALDO",IF(G138&lt;Listas!$B$6,"VENCIDO",IF(H138&lt;=Listas!$B$7,"CRÍTICO",IF(H138&lt;=Listas!$B$8,"VENCE NA JANELA","OK"))))))</x:f>
      </x:c>
      <x:c r="O138" s="41" t="str">
        <x:f>IF(A138="","",IF(AND(ISNUMBER(V138),V138&gt;0),G138,""))</x:f>
      </x:c>
      <x:c r="P138" s="40" t="str">
        <x:f>IF(A138="","",IF(OR(U138&gt;0,Listas!$B$13&lt;&gt;"OK"),"REVISAR DADOS",IF(J138=0,"ARQUIVAR LOTE",IF(M138="Quarentena","DECIDIR LIBERAÇÃO",IF(M138="Bloqueado","SEGREGAR E INVESTIGAR",IF(M138="Esgotado","REVISAR STATUS COM SALDO",IF(N138="VENCIDO","SEGREGAR E AVALIAR DESTINAÇÃO",IF(OR(N138="CRÍTICO",N138="VENCE NA JANELA"),"PRIORIZAR FEFO","MANTER ROTAÇÃO"))))))))</x:f>
      </x:c>
      <x:c r="Q138" s="27"/>
      <x:c r="R138" s="181" t="str">
        <x:f>IF(A138="","",IF(OR(U138&gt;0,Listas!$B$13&lt;&gt;"OK"),"n.a.",IF(OR(N138="VENCIDO",N138="CRÍTICO",N138="VENCE NA JANELA",M138="Quarentena",M138="Bloqueado"),L138,0)))</x:f>
      </x:c>
      <x:c r="S138" s="163" t="str">
        <x:f>IF(COUNTA(A138:B138,D138:G138,I138,K138,M138,Q138,AB138:AD138)=0,"",IF(OR(A138="",COUNTIFS($A$5:$A$204,A138)&lt;&gt;1),"Lote ausente ou duplicado",IF(OR(B138="",COUNTIFS(Produtos!$A$5:$A$204,B138)&lt;&gt;1),"SKU ausente ou desconhecido",IF(COUNTIFS(Produtos!$A$5:$A$204,B138,Produtos!$R$5:$R$204,1)&gt;0,"Revisar cadastro do produto",IF(OR(NOT(ISNUMBER(E138)),E138&lt;=0,NOT(ISNUMBER(G138)),G138&lt;=0,G138&lt;E138),"Recebimento ou validade inválida",IF(AND(F138&lt;&gt;"",OR(NOT(ISNUMBER(F138)),F138&lt;=0,F138&gt;E138)),"Fabricação inválida ou posterior ao recebimento",IF(OR(NOT(ISNUMBER(K138)),K138&lt;0,NOT(ISNUMBER(I138)),I138&lt;0),"Quantidade recebida ou custo inválido",IF(AND(M138&lt;&gt;"Liberado",M138&lt;&gt;"Quarentena",M138&lt;&gt;"Bloqueado",M138&lt;&gt;"Esgotado"),"Status de lote inválido",""))))))))</x:f>
      </x:c>
      <x:c r="T138" s="163" t="n">
        <x:f>IF(A138="",0,COUNTIFS(Movimentacoes!$D$5:$D$304,A138,Movimentacoes!$P$5:$P$304,1))</x:f>
        <x:v>0</x:v>
      </x:c>
      <x:c r="U138" s="163" t="n">
        <x:f>IF(COUNTA(A138:B138,D138:G138,I138,K138,M138,Q138,AB138:AD138)=0,0,IF(OR(S138&lt;&gt;"",T138&gt;0),1,IF(ISNUMBER(J138),IF(OR(J138&lt;0,AND(J138&gt;0,M138="Esgotado")),1,0),0)))</x:f>
        <x:v>0</x:v>
      </x:c>
      <x:c r="V138" s="163" t="str">
        <x:f>IF(A138="","",IF(OR(U138&gt;0,Listas!$B$13&lt;&gt;"OK"),"n.a.",IF(AND(J138&gt;0,M138="Liberado",G138&gt;=Listas!$B$6),J138,0)))</x:f>
      </x:c>
      <x:c r="W138" s="163" t="str">
        <x:f>IF(A138="","",IF(OR(U138&gt;0,Listas!$B$13&lt;&gt;"OK"),"n.a.",V138*K138))</x:f>
      </x:c>
      <x:c r="X138" s="167" t="n">
        <x:f>IF(COUNTA(A138:B138,D138:G138,I138,K138,M138,Q138,AB138:AD138)=0,0,IF(OR(Listas!$B$19="Todos",B138=Listas!$B$19,COUNTIFS(Produtos!$A$5:$A$204,B138)&lt;&gt;1),1,0))</x:f>
        <x:v>0</x:v>
      </x:c>
      <x:c r="Y138" s="167" t="str">
        <x:f>IF(X138=0,"",IF(Listas!$B$13&lt;&gt;"OK","Revisar parâmetros",IF(U138&gt;0,IF(S138&lt;&gt;"",S138,IF(T138&gt;0,"Revisar movimentos",IF(AND(ISNUMBER(J138),J138&lt;0),"Saldo negativo","Status esgotado com saldo"))),IF(AG138&lt;&gt;"",AG138&amp;". ","")&amp;IF(J138&lt;=0,"",IF(N138="VENCIDO","Validade vencida. ","")&amp;IF(M138="Quarentena","Em quarentena. ","")&amp;IF(M138="Bloqueado","Lote bloqueado. ","")&amp;IF(N138="CRÍTICO","Validade crítica. ","")&amp;IF(N138="VENCE NA JANELA","Vence na janela. ","")))))</x:f>
      </x:c>
      <x:c r="Z138" s="167" t="n">
        <x:f>IF(OR(X138=0,Y138=""),0,IF(OR(Listas!$B$13&lt;&gt;"OK",U138&gt;0,AH138&gt;0),1,IF(N138="VENCIDO",2,IF(OR(M138="Quarentena",M138="Bloqueado"),3,IF(N138="CRÍTICO",4,5)))))</x:f>
        <x:v>0</x:v>
      </x:c>
      <x:c r="AA138" s="167" t="n">
        <x:f>IF(Z138=0,0,COUNTIFS($Z$5:$Z$204,"&gt;0",$Z$5:$Z$204,"&lt;"&amp;Z138,$X$5:$X$204,1)+COUNTIFS($Z$5:Z138,Z138,$X$5:X138,1))</x:f>
        <x:v>0</x:v>
      </x:c>
      <x:c r="AB138" s="168"/>
      <x:c r="AC138" s="168"/>
      <x:c r="AD138" s="169"/>
      <x:c r="AE138" s="167" t="str">
        <x:f>IF(X138=0,"",IF(OR(U138&gt;0,Listas!$B$13&lt;&gt;"OK"),"Dados pendentes",IF(J138&lt;=0,"Sem saldo",IF(N138="VENCIDO","Vencidos",IF(OR(M138="Quarentena",M138="Bloqueado"),"Restritos vigentes",IF(OR(N138="CRÍTICO",N138="VENCE NA JANELA"),"Liberados na janela","Demais liberados"))))))</x:f>
      </x:c>
      <x:c r="AF138" s="167" t="str">
        <x:f>IF(A138&lt;&gt;"",A138,IF(U138&gt;0,"Sem ID (linha "&amp;ROW()&amp;")",""))</x:f>
      </x:c>
      <x:c r="AG138" s="167" t="str">
        <x:f>IF(AD138="","",IF(OR(NOT(ISNUMBER(AD138)),AD138&lt;=0),"Prazo da ação inválido",""))</x:f>
      </x:c>
      <x:c r="AH138" s="167" t="n">
        <x:f>IF(AG138="",0,1)</x:f>
        <x:v>0</x:v>
      </x:c>
    </x:row>
    <x:row r="139" ht="32" customHeight="1">
      <x:c r="A139" s="27"/>
      <x:c r="B139" s="27"/>
      <x:c r="C139" s="40" t="str">
        <x:f>IF($B139="","",IFERROR(INDEX(Produtos!$B$5:$B$204,MATCH($B139,Produtos!$A$5:$A$204,0)),""))</x:f>
      </x:c>
      <x:c r="D139" s="170"/>
      <x:c r="E139" s="179"/>
      <x:c r="F139" s="179"/>
      <x:c r="G139" s="179"/>
      <x:c r="H139" s="40" t="str">
        <x:f>IF(A139="","",IF(OR(S139&lt;&gt;"",Listas!$B$13&lt;&gt;"OK"),"n.a.",G139-Listas!$B$6))</x:f>
      </x:c>
      <x:c r="I139" s="40"/>
      <x:c r="J139" s="40" t="str">
        <x:f>IF(A139="","",IF(OR(S139&lt;&gt;"",T139&gt;0,Listas!$B$13&lt;&gt;"OK"),"n.a.",SUMIFS(Movimentacoes!$H$5:$H$304,Movimentacoes!$D$5:$D$304,A139,Movimentacoes!$B$5:$B$304,"&lt;="&amp;Listas!$B$6)))</x:f>
      </x:c>
      <x:c r="K139" s="180"/>
      <x:c r="L139" s="181" t="str">
        <x:f>IF(A139="","",IF(OR(U139&gt;0,Listas!$B$13&lt;&gt;"OK"),"n.a.",J139*K139))</x:f>
      </x:c>
      <x:c r="M139" s="27"/>
      <x:c r="N139" s="40" t="str">
        <x:f>IF(A139="","",IF(OR(U139&gt;0,Listas!$B$13&lt;&gt;"OK"),"REVISAR DADOS",IF(J139=0,"SEM SALDO",IF(G139&lt;Listas!$B$6,"VENCIDO",IF(H139&lt;=Listas!$B$7,"CRÍTICO",IF(H139&lt;=Listas!$B$8,"VENCE NA JANELA","OK"))))))</x:f>
      </x:c>
      <x:c r="O139" s="41" t="str">
        <x:f>IF(A139="","",IF(AND(ISNUMBER(V139),V139&gt;0),G139,""))</x:f>
      </x:c>
      <x:c r="P139" s="40" t="str">
        <x:f>IF(A139="","",IF(OR(U139&gt;0,Listas!$B$13&lt;&gt;"OK"),"REVISAR DADOS",IF(J139=0,"ARQUIVAR LOTE",IF(M139="Quarentena","DECIDIR LIBERAÇÃO",IF(M139="Bloqueado","SEGREGAR E INVESTIGAR",IF(M139="Esgotado","REVISAR STATUS COM SALDO",IF(N139="VENCIDO","SEGREGAR E AVALIAR DESTINAÇÃO",IF(OR(N139="CRÍTICO",N139="VENCE NA JANELA"),"PRIORIZAR FEFO","MANTER ROTAÇÃO"))))))))</x:f>
      </x:c>
      <x:c r="Q139" s="27"/>
      <x:c r="R139" s="181" t="str">
        <x:f>IF(A139="","",IF(OR(U139&gt;0,Listas!$B$13&lt;&gt;"OK"),"n.a.",IF(OR(N139="VENCIDO",N139="CRÍTICO",N139="VENCE NA JANELA",M139="Quarentena",M139="Bloqueado"),L139,0)))</x:f>
      </x:c>
      <x:c r="S139" s="163" t="str">
        <x:f>IF(COUNTA(A139:B139,D139:G139,I139,K139,M139,Q139,AB139:AD139)=0,"",IF(OR(A139="",COUNTIFS($A$5:$A$204,A139)&lt;&gt;1),"Lote ausente ou duplicado",IF(OR(B139="",COUNTIFS(Produtos!$A$5:$A$204,B139)&lt;&gt;1),"SKU ausente ou desconhecido",IF(COUNTIFS(Produtos!$A$5:$A$204,B139,Produtos!$R$5:$R$204,1)&gt;0,"Revisar cadastro do produto",IF(OR(NOT(ISNUMBER(E139)),E139&lt;=0,NOT(ISNUMBER(G139)),G139&lt;=0,G139&lt;E139),"Recebimento ou validade inválida",IF(AND(F139&lt;&gt;"",OR(NOT(ISNUMBER(F139)),F139&lt;=0,F139&gt;E139)),"Fabricação inválida ou posterior ao recebimento",IF(OR(NOT(ISNUMBER(K139)),K139&lt;0,NOT(ISNUMBER(I139)),I139&lt;0),"Quantidade recebida ou custo inválido",IF(AND(M139&lt;&gt;"Liberado",M139&lt;&gt;"Quarentena",M139&lt;&gt;"Bloqueado",M139&lt;&gt;"Esgotado"),"Status de lote inválido",""))))))))</x:f>
      </x:c>
      <x:c r="T139" s="163" t="n">
        <x:f>IF(A139="",0,COUNTIFS(Movimentacoes!$D$5:$D$304,A139,Movimentacoes!$P$5:$P$304,1))</x:f>
        <x:v>0</x:v>
      </x:c>
      <x:c r="U139" s="163" t="n">
        <x:f>IF(COUNTA(A139:B139,D139:G139,I139,K139,M139,Q139,AB139:AD139)=0,0,IF(OR(S139&lt;&gt;"",T139&gt;0),1,IF(ISNUMBER(J139),IF(OR(J139&lt;0,AND(J139&gt;0,M139="Esgotado")),1,0),0)))</x:f>
        <x:v>0</x:v>
      </x:c>
      <x:c r="V139" s="163" t="str">
        <x:f>IF(A139="","",IF(OR(U139&gt;0,Listas!$B$13&lt;&gt;"OK"),"n.a.",IF(AND(J139&gt;0,M139="Liberado",G139&gt;=Listas!$B$6),J139,0)))</x:f>
      </x:c>
      <x:c r="W139" s="163" t="str">
        <x:f>IF(A139="","",IF(OR(U139&gt;0,Listas!$B$13&lt;&gt;"OK"),"n.a.",V139*K139))</x:f>
      </x:c>
      <x:c r="X139" s="167" t="n">
        <x:f>IF(COUNTA(A139:B139,D139:G139,I139,K139,M139,Q139,AB139:AD139)=0,0,IF(OR(Listas!$B$19="Todos",B139=Listas!$B$19,COUNTIFS(Produtos!$A$5:$A$204,B139)&lt;&gt;1),1,0))</x:f>
        <x:v>0</x:v>
      </x:c>
      <x:c r="Y139" s="167" t="str">
        <x:f>IF(X139=0,"",IF(Listas!$B$13&lt;&gt;"OK","Revisar parâmetros",IF(U139&gt;0,IF(S139&lt;&gt;"",S139,IF(T139&gt;0,"Revisar movimentos",IF(AND(ISNUMBER(J139),J139&lt;0),"Saldo negativo","Status esgotado com saldo"))),IF(AG139&lt;&gt;"",AG139&amp;". ","")&amp;IF(J139&lt;=0,"",IF(N139="VENCIDO","Validade vencida. ","")&amp;IF(M139="Quarentena","Em quarentena. ","")&amp;IF(M139="Bloqueado","Lote bloqueado. ","")&amp;IF(N139="CRÍTICO","Validade crítica. ","")&amp;IF(N139="VENCE NA JANELA","Vence na janela. ","")))))</x:f>
      </x:c>
      <x:c r="Z139" s="167" t="n">
        <x:f>IF(OR(X139=0,Y139=""),0,IF(OR(Listas!$B$13&lt;&gt;"OK",U139&gt;0,AH139&gt;0),1,IF(N139="VENCIDO",2,IF(OR(M139="Quarentena",M139="Bloqueado"),3,IF(N139="CRÍTICO",4,5)))))</x:f>
        <x:v>0</x:v>
      </x:c>
      <x:c r="AA139" s="167" t="n">
        <x:f>IF(Z139=0,0,COUNTIFS($Z$5:$Z$204,"&gt;0",$Z$5:$Z$204,"&lt;"&amp;Z139,$X$5:$X$204,1)+COUNTIFS($Z$5:Z139,Z139,$X$5:X139,1))</x:f>
        <x:v>0</x:v>
      </x:c>
      <x:c r="AB139" s="168"/>
      <x:c r="AC139" s="168"/>
      <x:c r="AD139" s="169"/>
      <x:c r="AE139" s="167" t="str">
        <x:f>IF(X139=0,"",IF(OR(U139&gt;0,Listas!$B$13&lt;&gt;"OK"),"Dados pendentes",IF(J139&lt;=0,"Sem saldo",IF(N139="VENCIDO","Vencidos",IF(OR(M139="Quarentena",M139="Bloqueado"),"Restritos vigentes",IF(OR(N139="CRÍTICO",N139="VENCE NA JANELA"),"Liberados na janela","Demais liberados"))))))</x:f>
      </x:c>
      <x:c r="AF139" s="167" t="str">
        <x:f>IF(A139&lt;&gt;"",A139,IF(U139&gt;0,"Sem ID (linha "&amp;ROW()&amp;")",""))</x:f>
      </x:c>
      <x:c r="AG139" s="167" t="str">
        <x:f>IF(AD139="","",IF(OR(NOT(ISNUMBER(AD139)),AD139&lt;=0),"Prazo da ação inválido",""))</x:f>
      </x:c>
      <x:c r="AH139" s="167" t="n">
        <x:f>IF(AG139="",0,1)</x:f>
        <x:v>0</x:v>
      </x:c>
    </x:row>
    <x:row r="140" ht="32" customHeight="1">
      <x:c r="A140" s="27"/>
      <x:c r="B140" s="27"/>
      <x:c r="C140" s="40" t="str">
        <x:f>IF($B140="","",IFERROR(INDEX(Produtos!$B$5:$B$204,MATCH($B140,Produtos!$A$5:$A$204,0)),""))</x:f>
      </x:c>
      <x:c r="D140" s="170"/>
      <x:c r="E140" s="179"/>
      <x:c r="F140" s="179"/>
      <x:c r="G140" s="179"/>
      <x:c r="H140" s="40" t="str">
        <x:f>IF(A140="","",IF(OR(S140&lt;&gt;"",Listas!$B$13&lt;&gt;"OK"),"n.a.",G140-Listas!$B$6))</x:f>
      </x:c>
      <x:c r="I140" s="40"/>
      <x:c r="J140" s="40" t="str">
        <x:f>IF(A140="","",IF(OR(S140&lt;&gt;"",T140&gt;0,Listas!$B$13&lt;&gt;"OK"),"n.a.",SUMIFS(Movimentacoes!$H$5:$H$304,Movimentacoes!$D$5:$D$304,A140,Movimentacoes!$B$5:$B$304,"&lt;="&amp;Listas!$B$6)))</x:f>
      </x:c>
      <x:c r="K140" s="180"/>
      <x:c r="L140" s="181" t="str">
        <x:f>IF(A140="","",IF(OR(U140&gt;0,Listas!$B$13&lt;&gt;"OK"),"n.a.",J140*K140))</x:f>
      </x:c>
      <x:c r="M140" s="27"/>
      <x:c r="N140" s="40" t="str">
        <x:f>IF(A140="","",IF(OR(U140&gt;0,Listas!$B$13&lt;&gt;"OK"),"REVISAR DADOS",IF(J140=0,"SEM SALDO",IF(G140&lt;Listas!$B$6,"VENCIDO",IF(H140&lt;=Listas!$B$7,"CRÍTICO",IF(H140&lt;=Listas!$B$8,"VENCE NA JANELA","OK"))))))</x:f>
      </x:c>
      <x:c r="O140" s="41" t="str">
        <x:f>IF(A140="","",IF(AND(ISNUMBER(V140),V140&gt;0),G140,""))</x:f>
      </x:c>
      <x:c r="P140" s="40" t="str">
        <x:f>IF(A140="","",IF(OR(U140&gt;0,Listas!$B$13&lt;&gt;"OK"),"REVISAR DADOS",IF(J140=0,"ARQUIVAR LOTE",IF(M140="Quarentena","DECIDIR LIBERAÇÃO",IF(M140="Bloqueado","SEGREGAR E INVESTIGAR",IF(M140="Esgotado","REVISAR STATUS COM SALDO",IF(N140="VENCIDO","SEGREGAR E AVALIAR DESTINAÇÃO",IF(OR(N140="CRÍTICO",N140="VENCE NA JANELA"),"PRIORIZAR FEFO","MANTER ROTAÇÃO"))))))))</x:f>
      </x:c>
      <x:c r="Q140" s="27"/>
      <x:c r="R140" s="181" t="str">
        <x:f>IF(A140="","",IF(OR(U140&gt;0,Listas!$B$13&lt;&gt;"OK"),"n.a.",IF(OR(N140="VENCIDO",N140="CRÍTICO",N140="VENCE NA JANELA",M140="Quarentena",M140="Bloqueado"),L140,0)))</x:f>
      </x:c>
      <x:c r="S140" s="163" t="str">
        <x:f>IF(COUNTA(A140:B140,D140:G140,I140,K140,M140,Q140,AB140:AD140)=0,"",IF(OR(A140="",COUNTIFS($A$5:$A$204,A140)&lt;&gt;1),"Lote ausente ou duplicado",IF(OR(B140="",COUNTIFS(Produtos!$A$5:$A$204,B140)&lt;&gt;1),"SKU ausente ou desconhecido",IF(COUNTIFS(Produtos!$A$5:$A$204,B140,Produtos!$R$5:$R$204,1)&gt;0,"Revisar cadastro do produto",IF(OR(NOT(ISNUMBER(E140)),E140&lt;=0,NOT(ISNUMBER(G140)),G140&lt;=0,G140&lt;E140),"Recebimento ou validade inválida",IF(AND(F140&lt;&gt;"",OR(NOT(ISNUMBER(F140)),F140&lt;=0,F140&gt;E140)),"Fabricação inválida ou posterior ao recebimento",IF(OR(NOT(ISNUMBER(K140)),K140&lt;0,NOT(ISNUMBER(I140)),I140&lt;0),"Quantidade recebida ou custo inválido",IF(AND(M140&lt;&gt;"Liberado",M140&lt;&gt;"Quarentena",M140&lt;&gt;"Bloqueado",M140&lt;&gt;"Esgotado"),"Status de lote inválido",""))))))))</x:f>
      </x:c>
      <x:c r="T140" s="163" t="n">
        <x:f>IF(A140="",0,COUNTIFS(Movimentacoes!$D$5:$D$304,A140,Movimentacoes!$P$5:$P$304,1))</x:f>
        <x:v>0</x:v>
      </x:c>
      <x:c r="U140" s="163" t="n">
        <x:f>IF(COUNTA(A140:B140,D140:G140,I140,K140,M140,Q140,AB140:AD140)=0,0,IF(OR(S140&lt;&gt;"",T140&gt;0),1,IF(ISNUMBER(J140),IF(OR(J140&lt;0,AND(J140&gt;0,M140="Esgotado")),1,0),0)))</x:f>
        <x:v>0</x:v>
      </x:c>
      <x:c r="V140" s="163" t="str">
        <x:f>IF(A140="","",IF(OR(U140&gt;0,Listas!$B$13&lt;&gt;"OK"),"n.a.",IF(AND(J140&gt;0,M140="Liberado",G140&gt;=Listas!$B$6),J140,0)))</x:f>
      </x:c>
      <x:c r="W140" s="163" t="str">
        <x:f>IF(A140="","",IF(OR(U140&gt;0,Listas!$B$13&lt;&gt;"OK"),"n.a.",V140*K140))</x:f>
      </x:c>
      <x:c r="X140" s="167" t="n">
        <x:f>IF(COUNTA(A140:B140,D140:G140,I140,K140,M140,Q140,AB140:AD140)=0,0,IF(OR(Listas!$B$19="Todos",B140=Listas!$B$19,COUNTIFS(Produtos!$A$5:$A$204,B140)&lt;&gt;1),1,0))</x:f>
        <x:v>0</x:v>
      </x:c>
      <x:c r="Y140" s="167" t="str">
        <x:f>IF(X140=0,"",IF(Listas!$B$13&lt;&gt;"OK","Revisar parâmetros",IF(U140&gt;0,IF(S140&lt;&gt;"",S140,IF(T140&gt;0,"Revisar movimentos",IF(AND(ISNUMBER(J140),J140&lt;0),"Saldo negativo","Status esgotado com saldo"))),IF(AG140&lt;&gt;"",AG140&amp;". ","")&amp;IF(J140&lt;=0,"",IF(N140="VENCIDO","Validade vencida. ","")&amp;IF(M140="Quarentena","Em quarentena. ","")&amp;IF(M140="Bloqueado","Lote bloqueado. ","")&amp;IF(N140="CRÍTICO","Validade crítica. ","")&amp;IF(N140="VENCE NA JANELA","Vence na janela. ","")))))</x:f>
      </x:c>
      <x:c r="Z140" s="167" t="n">
        <x:f>IF(OR(X140=0,Y140=""),0,IF(OR(Listas!$B$13&lt;&gt;"OK",U140&gt;0,AH140&gt;0),1,IF(N140="VENCIDO",2,IF(OR(M140="Quarentena",M140="Bloqueado"),3,IF(N140="CRÍTICO",4,5)))))</x:f>
        <x:v>0</x:v>
      </x:c>
      <x:c r="AA140" s="167" t="n">
        <x:f>IF(Z140=0,0,COUNTIFS($Z$5:$Z$204,"&gt;0",$Z$5:$Z$204,"&lt;"&amp;Z140,$X$5:$X$204,1)+COUNTIFS($Z$5:Z140,Z140,$X$5:X140,1))</x:f>
        <x:v>0</x:v>
      </x:c>
      <x:c r="AB140" s="168"/>
      <x:c r="AC140" s="168"/>
      <x:c r="AD140" s="169"/>
      <x:c r="AE140" s="167" t="str">
        <x:f>IF(X140=0,"",IF(OR(U140&gt;0,Listas!$B$13&lt;&gt;"OK"),"Dados pendentes",IF(J140&lt;=0,"Sem saldo",IF(N140="VENCIDO","Vencidos",IF(OR(M140="Quarentena",M140="Bloqueado"),"Restritos vigentes",IF(OR(N140="CRÍTICO",N140="VENCE NA JANELA"),"Liberados na janela","Demais liberados"))))))</x:f>
      </x:c>
      <x:c r="AF140" s="167" t="str">
        <x:f>IF(A140&lt;&gt;"",A140,IF(U140&gt;0,"Sem ID (linha "&amp;ROW()&amp;")",""))</x:f>
      </x:c>
      <x:c r="AG140" s="167" t="str">
        <x:f>IF(AD140="","",IF(OR(NOT(ISNUMBER(AD140)),AD140&lt;=0),"Prazo da ação inválido",""))</x:f>
      </x:c>
      <x:c r="AH140" s="167" t="n">
        <x:f>IF(AG140="",0,1)</x:f>
        <x:v>0</x:v>
      </x:c>
    </x:row>
    <x:row r="141" ht="32" customHeight="1">
      <x:c r="A141" s="27"/>
      <x:c r="B141" s="27"/>
      <x:c r="C141" s="40" t="str">
        <x:f>IF($B141="","",IFERROR(INDEX(Produtos!$B$5:$B$204,MATCH($B141,Produtos!$A$5:$A$204,0)),""))</x:f>
      </x:c>
      <x:c r="D141" s="170"/>
      <x:c r="E141" s="179"/>
      <x:c r="F141" s="179"/>
      <x:c r="G141" s="179"/>
      <x:c r="H141" s="40" t="str">
        <x:f>IF(A141="","",IF(OR(S141&lt;&gt;"",Listas!$B$13&lt;&gt;"OK"),"n.a.",G141-Listas!$B$6))</x:f>
      </x:c>
      <x:c r="I141" s="40"/>
      <x:c r="J141" s="40" t="str">
        <x:f>IF(A141="","",IF(OR(S141&lt;&gt;"",T141&gt;0,Listas!$B$13&lt;&gt;"OK"),"n.a.",SUMIFS(Movimentacoes!$H$5:$H$304,Movimentacoes!$D$5:$D$304,A141,Movimentacoes!$B$5:$B$304,"&lt;="&amp;Listas!$B$6)))</x:f>
      </x:c>
      <x:c r="K141" s="180"/>
      <x:c r="L141" s="181" t="str">
        <x:f>IF(A141="","",IF(OR(U141&gt;0,Listas!$B$13&lt;&gt;"OK"),"n.a.",J141*K141))</x:f>
      </x:c>
      <x:c r="M141" s="27"/>
      <x:c r="N141" s="40" t="str">
        <x:f>IF(A141="","",IF(OR(U141&gt;0,Listas!$B$13&lt;&gt;"OK"),"REVISAR DADOS",IF(J141=0,"SEM SALDO",IF(G141&lt;Listas!$B$6,"VENCIDO",IF(H141&lt;=Listas!$B$7,"CRÍTICO",IF(H141&lt;=Listas!$B$8,"VENCE NA JANELA","OK"))))))</x:f>
      </x:c>
      <x:c r="O141" s="41" t="str">
        <x:f>IF(A141="","",IF(AND(ISNUMBER(V141),V141&gt;0),G141,""))</x:f>
      </x:c>
      <x:c r="P141" s="40" t="str">
        <x:f>IF(A141="","",IF(OR(U141&gt;0,Listas!$B$13&lt;&gt;"OK"),"REVISAR DADOS",IF(J141=0,"ARQUIVAR LOTE",IF(M141="Quarentena","DECIDIR LIBERAÇÃO",IF(M141="Bloqueado","SEGREGAR E INVESTIGAR",IF(M141="Esgotado","REVISAR STATUS COM SALDO",IF(N141="VENCIDO","SEGREGAR E AVALIAR DESTINAÇÃO",IF(OR(N141="CRÍTICO",N141="VENCE NA JANELA"),"PRIORIZAR FEFO","MANTER ROTAÇÃO"))))))))</x:f>
      </x:c>
      <x:c r="Q141" s="27"/>
      <x:c r="R141" s="181" t="str">
        <x:f>IF(A141="","",IF(OR(U141&gt;0,Listas!$B$13&lt;&gt;"OK"),"n.a.",IF(OR(N141="VENCIDO",N141="CRÍTICO",N141="VENCE NA JANELA",M141="Quarentena",M141="Bloqueado"),L141,0)))</x:f>
      </x:c>
      <x:c r="S141" s="163" t="str">
        <x:f>IF(COUNTA(A141:B141,D141:G141,I141,K141,M141,Q141,AB141:AD141)=0,"",IF(OR(A141="",COUNTIFS($A$5:$A$204,A141)&lt;&gt;1),"Lote ausente ou duplicado",IF(OR(B141="",COUNTIFS(Produtos!$A$5:$A$204,B141)&lt;&gt;1),"SKU ausente ou desconhecido",IF(COUNTIFS(Produtos!$A$5:$A$204,B141,Produtos!$R$5:$R$204,1)&gt;0,"Revisar cadastro do produto",IF(OR(NOT(ISNUMBER(E141)),E141&lt;=0,NOT(ISNUMBER(G141)),G141&lt;=0,G141&lt;E141),"Recebimento ou validade inválida",IF(AND(F141&lt;&gt;"",OR(NOT(ISNUMBER(F141)),F141&lt;=0,F141&gt;E141)),"Fabricação inválida ou posterior ao recebimento",IF(OR(NOT(ISNUMBER(K141)),K141&lt;0,NOT(ISNUMBER(I141)),I141&lt;0),"Quantidade recebida ou custo inválido",IF(AND(M141&lt;&gt;"Liberado",M141&lt;&gt;"Quarentena",M141&lt;&gt;"Bloqueado",M141&lt;&gt;"Esgotado"),"Status de lote inválido",""))))))))</x:f>
      </x:c>
      <x:c r="T141" s="163" t="n">
        <x:f>IF(A141="",0,COUNTIFS(Movimentacoes!$D$5:$D$304,A141,Movimentacoes!$P$5:$P$304,1))</x:f>
        <x:v>0</x:v>
      </x:c>
      <x:c r="U141" s="163" t="n">
        <x:f>IF(COUNTA(A141:B141,D141:G141,I141,K141,M141,Q141,AB141:AD141)=0,0,IF(OR(S141&lt;&gt;"",T141&gt;0),1,IF(ISNUMBER(J141),IF(OR(J141&lt;0,AND(J141&gt;0,M141="Esgotado")),1,0),0)))</x:f>
        <x:v>0</x:v>
      </x:c>
      <x:c r="V141" s="163" t="str">
        <x:f>IF(A141="","",IF(OR(U141&gt;0,Listas!$B$13&lt;&gt;"OK"),"n.a.",IF(AND(J141&gt;0,M141="Liberado",G141&gt;=Listas!$B$6),J141,0)))</x:f>
      </x:c>
      <x:c r="W141" s="163" t="str">
        <x:f>IF(A141="","",IF(OR(U141&gt;0,Listas!$B$13&lt;&gt;"OK"),"n.a.",V141*K141))</x:f>
      </x:c>
      <x:c r="X141" s="167" t="n">
        <x:f>IF(COUNTA(A141:B141,D141:G141,I141,K141,M141,Q141,AB141:AD141)=0,0,IF(OR(Listas!$B$19="Todos",B141=Listas!$B$19,COUNTIFS(Produtos!$A$5:$A$204,B141)&lt;&gt;1),1,0))</x:f>
        <x:v>0</x:v>
      </x:c>
      <x:c r="Y141" s="167" t="str">
        <x:f>IF(X141=0,"",IF(Listas!$B$13&lt;&gt;"OK","Revisar parâmetros",IF(U141&gt;0,IF(S141&lt;&gt;"",S141,IF(T141&gt;0,"Revisar movimentos",IF(AND(ISNUMBER(J141),J141&lt;0),"Saldo negativo","Status esgotado com saldo"))),IF(AG141&lt;&gt;"",AG141&amp;". ","")&amp;IF(J141&lt;=0,"",IF(N141="VENCIDO","Validade vencida. ","")&amp;IF(M141="Quarentena","Em quarentena. ","")&amp;IF(M141="Bloqueado","Lote bloqueado. ","")&amp;IF(N141="CRÍTICO","Validade crítica. ","")&amp;IF(N141="VENCE NA JANELA","Vence na janela. ","")))))</x:f>
      </x:c>
      <x:c r="Z141" s="167" t="n">
        <x:f>IF(OR(X141=0,Y141=""),0,IF(OR(Listas!$B$13&lt;&gt;"OK",U141&gt;0,AH141&gt;0),1,IF(N141="VENCIDO",2,IF(OR(M141="Quarentena",M141="Bloqueado"),3,IF(N141="CRÍTICO",4,5)))))</x:f>
        <x:v>0</x:v>
      </x:c>
      <x:c r="AA141" s="167" t="n">
        <x:f>IF(Z141=0,0,COUNTIFS($Z$5:$Z$204,"&gt;0",$Z$5:$Z$204,"&lt;"&amp;Z141,$X$5:$X$204,1)+COUNTIFS($Z$5:Z141,Z141,$X$5:X141,1))</x:f>
        <x:v>0</x:v>
      </x:c>
      <x:c r="AB141" s="168"/>
      <x:c r="AC141" s="168"/>
      <x:c r="AD141" s="169"/>
      <x:c r="AE141" s="167" t="str">
        <x:f>IF(X141=0,"",IF(OR(U141&gt;0,Listas!$B$13&lt;&gt;"OK"),"Dados pendentes",IF(J141&lt;=0,"Sem saldo",IF(N141="VENCIDO","Vencidos",IF(OR(M141="Quarentena",M141="Bloqueado"),"Restritos vigentes",IF(OR(N141="CRÍTICO",N141="VENCE NA JANELA"),"Liberados na janela","Demais liberados"))))))</x:f>
      </x:c>
      <x:c r="AF141" s="167" t="str">
        <x:f>IF(A141&lt;&gt;"",A141,IF(U141&gt;0,"Sem ID (linha "&amp;ROW()&amp;")",""))</x:f>
      </x:c>
      <x:c r="AG141" s="167" t="str">
        <x:f>IF(AD141="","",IF(OR(NOT(ISNUMBER(AD141)),AD141&lt;=0),"Prazo da ação inválido",""))</x:f>
      </x:c>
      <x:c r="AH141" s="167" t="n">
        <x:f>IF(AG141="",0,1)</x:f>
        <x:v>0</x:v>
      </x:c>
    </x:row>
    <x:row r="142" ht="32" customHeight="1">
      <x:c r="A142" s="27"/>
      <x:c r="B142" s="27"/>
      <x:c r="C142" s="40" t="str">
        <x:f>IF($B142="","",IFERROR(INDEX(Produtos!$B$5:$B$204,MATCH($B142,Produtos!$A$5:$A$204,0)),""))</x:f>
      </x:c>
      <x:c r="D142" s="170"/>
      <x:c r="E142" s="179"/>
      <x:c r="F142" s="179"/>
      <x:c r="G142" s="179"/>
      <x:c r="H142" s="40" t="str">
        <x:f>IF(A142="","",IF(OR(S142&lt;&gt;"",Listas!$B$13&lt;&gt;"OK"),"n.a.",G142-Listas!$B$6))</x:f>
      </x:c>
      <x:c r="I142" s="40"/>
      <x:c r="J142" s="40" t="str">
        <x:f>IF(A142="","",IF(OR(S142&lt;&gt;"",T142&gt;0,Listas!$B$13&lt;&gt;"OK"),"n.a.",SUMIFS(Movimentacoes!$H$5:$H$304,Movimentacoes!$D$5:$D$304,A142,Movimentacoes!$B$5:$B$304,"&lt;="&amp;Listas!$B$6)))</x:f>
      </x:c>
      <x:c r="K142" s="180"/>
      <x:c r="L142" s="181" t="str">
        <x:f>IF(A142="","",IF(OR(U142&gt;0,Listas!$B$13&lt;&gt;"OK"),"n.a.",J142*K142))</x:f>
      </x:c>
      <x:c r="M142" s="27"/>
      <x:c r="N142" s="40" t="str">
        <x:f>IF(A142="","",IF(OR(U142&gt;0,Listas!$B$13&lt;&gt;"OK"),"REVISAR DADOS",IF(J142=0,"SEM SALDO",IF(G142&lt;Listas!$B$6,"VENCIDO",IF(H142&lt;=Listas!$B$7,"CRÍTICO",IF(H142&lt;=Listas!$B$8,"VENCE NA JANELA","OK"))))))</x:f>
      </x:c>
      <x:c r="O142" s="41" t="str">
        <x:f>IF(A142="","",IF(AND(ISNUMBER(V142),V142&gt;0),G142,""))</x:f>
      </x:c>
      <x:c r="P142" s="40" t="str">
        <x:f>IF(A142="","",IF(OR(U142&gt;0,Listas!$B$13&lt;&gt;"OK"),"REVISAR DADOS",IF(J142=0,"ARQUIVAR LOTE",IF(M142="Quarentena","DECIDIR LIBERAÇÃO",IF(M142="Bloqueado","SEGREGAR E INVESTIGAR",IF(M142="Esgotado","REVISAR STATUS COM SALDO",IF(N142="VENCIDO","SEGREGAR E AVALIAR DESTINAÇÃO",IF(OR(N142="CRÍTICO",N142="VENCE NA JANELA"),"PRIORIZAR FEFO","MANTER ROTAÇÃO"))))))))</x:f>
      </x:c>
      <x:c r="Q142" s="27"/>
      <x:c r="R142" s="181" t="str">
        <x:f>IF(A142="","",IF(OR(U142&gt;0,Listas!$B$13&lt;&gt;"OK"),"n.a.",IF(OR(N142="VENCIDO",N142="CRÍTICO",N142="VENCE NA JANELA",M142="Quarentena",M142="Bloqueado"),L142,0)))</x:f>
      </x:c>
      <x:c r="S142" s="163" t="str">
        <x:f>IF(COUNTA(A142:B142,D142:G142,I142,K142,M142,Q142,AB142:AD142)=0,"",IF(OR(A142="",COUNTIFS($A$5:$A$204,A142)&lt;&gt;1),"Lote ausente ou duplicado",IF(OR(B142="",COUNTIFS(Produtos!$A$5:$A$204,B142)&lt;&gt;1),"SKU ausente ou desconhecido",IF(COUNTIFS(Produtos!$A$5:$A$204,B142,Produtos!$R$5:$R$204,1)&gt;0,"Revisar cadastro do produto",IF(OR(NOT(ISNUMBER(E142)),E142&lt;=0,NOT(ISNUMBER(G142)),G142&lt;=0,G142&lt;E142),"Recebimento ou validade inválida",IF(AND(F142&lt;&gt;"",OR(NOT(ISNUMBER(F142)),F142&lt;=0,F142&gt;E142)),"Fabricação inválida ou posterior ao recebimento",IF(OR(NOT(ISNUMBER(K142)),K142&lt;0,NOT(ISNUMBER(I142)),I142&lt;0),"Quantidade recebida ou custo inválido",IF(AND(M142&lt;&gt;"Liberado",M142&lt;&gt;"Quarentena",M142&lt;&gt;"Bloqueado",M142&lt;&gt;"Esgotado"),"Status de lote inválido",""))))))))</x:f>
      </x:c>
      <x:c r="T142" s="163" t="n">
        <x:f>IF(A142="",0,COUNTIFS(Movimentacoes!$D$5:$D$304,A142,Movimentacoes!$P$5:$P$304,1))</x:f>
        <x:v>0</x:v>
      </x:c>
      <x:c r="U142" s="163" t="n">
        <x:f>IF(COUNTA(A142:B142,D142:G142,I142,K142,M142,Q142,AB142:AD142)=0,0,IF(OR(S142&lt;&gt;"",T142&gt;0),1,IF(ISNUMBER(J142),IF(OR(J142&lt;0,AND(J142&gt;0,M142="Esgotado")),1,0),0)))</x:f>
        <x:v>0</x:v>
      </x:c>
      <x:c r="V142" s="163" t="str">
        <x:f>IF(A142="","",IF(OR(U142&gt;0,Listas!$B$13&lt;&gt;"OK"),"n.a.",IF(AND(J142&gt;0,M142="Liberado",G142&gt;=Listas!$B$6),J142,0)))</x:f>
      </x:c>
      <x:c r="W142" s="163" t="str">
        <x:f>IF(A142="","",IF(OR(U142&gt;0,Listas!$B$13&lt;&gt;"OK"),"n.a.",V142*K142))</x:f>
      </x:c>
      <x:c r="X142" s="167" t="n">
        <x:f>IF(COUNTA(A142:B142,D142:G142,I142,K142,M142,Q142,AB142:AD142)=0,0,IF(OR(Listas!$B$19="Todos",B142=Listas!$B$19,COUNTIFS(Produtos!$A$5:$A$204,B142)&lt;&gt;1),1,0))</x:f>
        <x:v>0</x:v>
      </x:c>
      <x:c r="Y142" s="167" t="str">
        <x:f>IF(X142=0,"",IF(Listas!$B$13&lt;&gt;"OK","Revisar parâmetros",IF(U142&gt;0,IF(S142&lt;&gt;"",S142,IF(T142&gt;0,"Revisar movimentos",IF(AND(ISNUMBER(J142),J142&lt;0),"Saldo negativo","Status esgotado com saldo"))),IF(AG142&lt;&gt;"",AG142&amp;". ","")&amp;IF(J142&lt;=0,"",IF(N142="VENCIDO","Validade vencida. ","")&amp;IF(M142="Quarentena","Em quarentena. ","")&amp;IF(M142="Bloqueado","Lote bloqueado. ","")&amp;IF(N142="CRÍTICO","Validade crítica. ","")&amp;IF(N142="VENCE NA JANELA","Vence na janela. ","")))))</x:f>
      </x:c>
      <x:c r="Z142" s="167" t="n">
        <x:f>IF(OR(X142=0,Y142=""),0,IF(OR(Listas!$B$13&lt;&gt;"OK",U142&gt;0,AH142&gt;0),1,IF(N142="VENCIDO",2,IF(OR(M142="Quarentena",M142="Bloqueado"),3,IF(N142="CRÍTICO",4,5)))))</x:f>
        <x:v>0</x:v>
      </x:c>
      <x:c r="AA142" s="167" t="n">
        <x:f>IF(Z142=0,0,COUNTIFS($Z$5:$Z$204,"&gt;0",$Z$5:$Z$204,"&lt;"&amp;Z142,$X$5:$X$204,1)+COUNTIFS($Z$5:Z142,Z142,$X$5:X142,1))</x:f>
        <x:v>0</x:v>
      </x:c>
      <x:c r="AB142" s="168"/>
      <x:c r="AC142" s="168"/>
      <x:c r="AD142" s="169"/>
      <x:c r="AE142" s="167" t="str">
        <x:f>IF(X142=0,"",IF(OR(U142&gt;0,Listas!$B$13&lt;&gt;"OK"),"Dados pendentes",IF(J142&lt;=0,"Sem saldo",IF(N142="VENCIDO","Vencidos",IF(OR(M142="Quarentena",M142="Bloqueado"),"Restritos vigentes",IF(OR(N142="CRÍTICO",N142="VENCE NA JANELA"),"Liberados na janela","Demais liberados"))))))</x:f>
      </x:c>
      <x:c r="AF142" s="167" t="str">
        <x:f>IF(A142&lt;&gt;"",A142,IF(U142&gt;0,"Sem ID (linha "&amp;ROW()&amp;")",""))</x:f>
      </x:c>
      <x:c r="AG142" s="167" t="str">
        <x:f>IF(AD142="","",IF(OR(NOT(ISNUMBER(AD142)),AD142&lt;=0),"Prazo da ação inválido",""))</x:f>
      </x:c>
      <x:c r="AH142" s="167" t="n">
        <x:f>IF(AG142="",0,1)</x:f>
        <x:v>0</x:v>
      </x:c>
    </x:row>
    <x:row r="143" ht="32" customHeight="1">
      <x:c r="A143" s="27"/>
      <x:c r="B143" s="27"/>
      <x:c r="C143" s="40" t="str">
        <x:f>IF($B143="","",IFERROR(INDEX(Produtos!$B$5:$B$204,MATCH($B143,Produtos!$A$5:$A$204,0)),""))</x:f>
      </x:c>
      <x:c r="D143" s="170"/>
      <x:c r="E143" s="179"/>
      <x:c r="F143" s="179"/>
      <x:c r="G143" s="179"/>
      <x:c r="H143" s="40" t="str">
        <x:f>IF(A143="","",IF(OR(S143&lt;&gt;"",Listas!$B$13&lt;&gt;"OK"),"n.a.",G143-Listas!$B$6))</x:f>
      </x:c>
      <x:c r="I143" s="40"/>
      <x:c r="J143" s="40" t="str">
        <x:f>IF(A143="","",IF(OR(S143&lt;&gt;"",T143&gt;0,Listas!$B$13&lt;&gt;"OK"),"n.a.",SUMIFS(Movimentacoes!$H$5:$H$304,Movimentacoes!$D$5:$D$304,A143,Movimentacoes!$B$5:$B$304,"&lt;="&amp;Listas!$B$6)))</x:f>
      </x:c>
      <x:c r="K143" s="180"/>
      <x:c r="L143" s="181" t="str">
        <x:f>IF(A143="","",IF(OR(U143&gt;0,Listas!$B$13&lt;&gt;"OK"),"n.a.",J143*K143))</x:f>
      </x:c>
      <x:c r="M143" s="27"/>
      <x:c r="N143" s="40" t="str">
        <x:f>IF(A143="","",IF(OR(U143&gt;0,Listas!$B$13&lt;&gt;"OK"),"REVISAR DADOS",IF(J143=0,"SEM SALDO",IF(G143&lt;Listas!$B$6,"VENCIDO",IF(H143&lt;=Listas!$B$7,"CRÍTICO",IF(H143&lt;=Listas!$B$8,"VENCE NA JANELA","OK"))))))</x:f>
      </x:c>
      <x:c r="O143" s="41" t="str">
        <x:f>IF(A143="","",IF(AND(ISNUMBER(V143),V143&gt;0),G143,""))</x:f>
      </x:c>
      <x:c r="P143" s="40" t="str">
        <x:f>IF(A143="","",IF(OR(U143&gt;0,Listas!$B$13&lt;&gt;"OK"),"REVISAR DADOS",IF(J143=0,"ARQUIVAR LOTE",IF(M143="Quarentena","DECIDIR LIBERAÇÃO",IF(M143="Bloqueado","SEGREGAR E INVESTIGAR",IF(M143="Esgotado","REVISAR STATUS COM SALDO",IF(N143="VENCIDO","SEGREGAR E AVALIAR DESTINAÇÃO",IF(OR(N143="CRÍTICO",N143="VENCE NA JANELA"),"PRIORIZAR FEFO","MANTER ROTAÇÃO"))))))))</x:f>
      </x:c>
      <x:c r="Q143" s="27"/>
      <x:c r="R143" s="181" t="str">
        <x:f>IF(A143="","",IF(OR(U143&gt;0,Listas!$B$13&lt;&gt;"OK"),"n.a.",IF(OR(N143="VENCIDO",N143="CRÍTICO",N143="VENCE NA JANELA",M143="Quarentena",M143="Bloqueado"),L143,0)))</x:f>
      </x:c>
      <x:c r="S143" s="163" t="str">
        <x:f>IF(COUNTA(A143:B143,D143:G143,I143,K143,M143,Q143,AB143:AD143)=0,"",IF(OR(A143="",COUNTIFS($A$5:$A$204,A143)&lt;&gt;1),"Lote ausente ou duplicado",IF(OR(B143="",COUNTIFS(Produtos!$A$5:$A$204,B143)&lt;&gt;1),"SKU ausente ou desconhecido",IF(COUNTIFS(Produtos!$A$5:$A$204,B143,Produtos!$R$5:$R$204,1)&gt;0,"Revisar cadastro do produto",IF(OR(NOT(ISNUMBER(E143)),E143&lt;=0,NOT(ISNUMBER(G143)),G143&lt;=0,G143&lt;E143),"Recebimento ou validade inválida",IF(AND(F143&lt;&gt;"",OR(NOT(ISNUMBER(F143)),F143&lt;=0,F143&gt;E143)),"Fabricação inválida ou posterior ao recebimento",IF(OR(NOT(ISNUMBER(K143)),K143&lt;0,NOT(ISNUMBER(I143)),I143&lt;0),"Quantidade recebida ou custo inválido",IF(AND(M143&lt;&gt;"Liberado",M143&lt;&gt;"Quarentena",M143&lt;&gt;"Bloqueado",M143&lt;&gt;"Esgotado"),"Status de lote inválido",""))))))))</x:f>
      </x:c>
      <x:c r="T143" s="163" t="n">
        <x:f>IF(A143="",0,COUNTIFS(Movimentacoes!$D$5:$D$304,A143,Movimentacoes!$P$5:$P$304,1))</x:f>
        <x:v>0</x:v>
      </x:c>
      <x:c r="U143" s="163" t="n">
        <x:f>IF(COUNTA(A143:B143,D143:G143,I143,K143,M143,Q143,AB143:AD143)=0,0,IF(OR(S143&lt;&gt;"",T143&gt;0),1,IF(ISNUMBER(J143),IF(OR(J143&lt;0,AND(J143&gt;0,M143="Esgotado")),1,0),0)))</x:f>
        <x:v>0</x:v>
      </x:c>
      <x:c r="V143" s="163" t="str">
        <x:f>IF(A143="","",IF(OR(U143&gt;0,Listas!$B$13&lt;&gt;"OK"),"n.a.",IF(AND(J143&gt;0,M143="Liberado",G143&gt;=Listas!$B$6),J143,0)))</x:f>
      </x:c>
      <x:c r="W143" s="163" t="str">
        <x:f>IF(A143="","",IF(OR(U143&gt;0,Listas!$B$13&lt;&gt;"OK"),"n.a.",V143*K143))</x:f>
      </x:c>
      <x:c r="X143" s="167" t="n">
        <x:f>IF(COUNTA(A143:B143,D143:G143,I143,K143,M143,Q143,AB143:AD143)=0,0,IF(OR(Listas!$B$19="Todos",B143=Listas!$B$19,COUNTIFS(Produtos!$A$5:$A$204,B143)&lt;&gt;1),1,0))</x:f>
        <x:v>0</x:v>
      </x:c>
      <x:c r="Y143" s="167" t="str">
        <x:f>IF(X143=0,"",IF(Listas!$B$13&lt;&gt;"OK","Revisar parâmetros",IF(U143&gt;0,IF(S143&lt;&gt;"",S143,IF(T143&gt;0,"Revisar movimentos",IF(AND(ISNUMBER(J143),J143&lt;0),"Saldo negativo","Status esgotado com saldo"))),IF(AG143&lt;&gt;"",AG143&amp;". ","")&amp;IF(J143&lt;=0,"",IF(N143="VENCIDO","Validade vencida. ","")&amp;IF(M143="Quarentena","Em quarentena. ","")&amp;IF(M143="Bloqueado","Lote bloqueado. ","")&amp;IF(N143="CRÍTICO","Validade crítica. ","")&amp;IF(N143="VENCE NA JANELA","Vence na janela. ","")))))</x:f>
      </x:c>
      <x:c r="Z143" s="167" t="n">
        <x:f>IF(OR(X143=0,Y143=""),0,IF(OR(Listas!$B$13&lt;&gt;"OK",U143&gt;0,AH143&gt;0),1,IF(N143="VENCIDO",2,IF(OR(M143="Quarentena",M143="Bloqueado"),3,IF(N143="CRÍTICO",4,5)))))</x:f>
        <x:v>0</x:v>
      </x:c>
      <x:c r="AA143" s="167" t="n">
        <x:f>IF(Z143=0,0,COUNTIFS($Z$5:$Z$204,"&gt;0",$Z$5:$Z$204,"&lt;"&amp;Z143,$X$5:$X$204,1)+COUNTIFS($Z$5:Z143,Z143,$X$5:X143,1))</x:f>
        <x:v>0</x:v>
      </x:c>
      <x:c r="AB143" s="168"/>
      <x:c r="AC143" s="168"/>
      <x:c r="AD143" s="169"/>
      <x:c r="AE143" s="167" t="str">
        <x:f>IF(X143=0,"",IF(OR(U143&gt;0,Listas!$B$13&lt;&gt;"OK"),"Dados pendentes",IF(J143&lt;=0,"Sem saldo",IF(N143="VENCIDO","Vencidos",IF(OR(M143="Quarentena",M143="Bloqueado"),"Restritos vigentes",IF(OR(N143="CRÍTICO",N143="VENCE NA JANELA"),"Liberados na janela","Demais liberados"))))))</x:f>
      </x:c>
      <x:c r="AF143" s="167" t="str">
        <x:f>IF(A143&lt;&gt;"",A143,IF(U143&gt;0,"Sem ID (linha "&amp;ROW()&amp;")",""))</x:f>
      </x:c>
      <x:c r="AG143" s="167" t="str">
        <x:f>IF(AD143="","",IF(OR(NOT(ISNUMBER(AD143)),AD143&lt;=0),"Prazo da ação inválido",""))</x:f>
      </x:c>
      <x:c r="AH143" s="167" t="n">
        <x:f>IF(AG143="",0,1)</x:f>
        <x:v>0</x:v>
      </x:c>
    </x:row>
    <x:row r="144" ht="32" customHeight="1">
      <x:c r="A144" s="27"/>
      <x:c r="B144" s="27"/>
      <x:c r="C144" s="40" t="str">
        <x:f>IF($B144="","",IFERROR(INDEX(Produtos!$B$5:$B$204,MATCH($B144,Produtos!$A$5:$A$204,0)),""))</x:f>
      </x:c>
      <x:c r="D144" s="170"/>
      <x:c r="E144" s="179"/>
      <x:c r="F144" s="179"/>
      <x:c r="G144" s="179"/>
      <x:c r="H144" s="40" t="str">
        <x:f>IF(A144="","",IF(OR(S144&lt;&gt;"",Listas!$B$13&lt;&gt;"OK"),"n.a.",G144-Listas!$B$6))</x:f>
      </x:c>
      <x:c r="I144" s="40"/>
      <x:c r="J144" s="40" t="str">
        <x:f>IF(A144="","",IF(OR(S144&lt;&gt;"",T144&gt;0,Listas!$B$13&lt;&gt;"OK"),"n.a.",SUMIFS(Movimentacoes!$H$5:$H$304,Movimentacoes!$D$5:$D$304,A144,Movimentacoes!$B$5:$B$304,"&lt;="&amp;Listas!$B$6)))</x:f>
      </x:c>
      <x:c r="K144" s="180"/>
      <x:c r="L144" s="181" t="str">
        <x:f>IF(A144="","",IF(OR(U144&gt;0,Listas!$B$13&lt;&gt;"OK"),"n.a.",J144*K144))</x:f>
      </x:c>
      <x:c r="M144" s="27"/>
      <x:c r="N144" s="40" t="str">
        <x:f>IF(A144="","",IF(OR(U144&gt;0,Listas!$B$13&lt;&gt;"OK"),"REVISAR DADOS",IF(J144=0,"SEM SALDO",IF(G144&lt;Listas!$B$6,"VENCIDO",IF(H144&lt;=Listas!$B$7,"CRÍTICO",IF(H144&lt;=Listas!$B$8,"VENCE NA JANELA","OK"))))))</x:f>
      </x:c>
      <x:c r="O144" s="41" t="str">
        <x:f>IF(A144="","",IF(AND(ISNUMBER(V144),V144&gt;0),G144,""))</x:f>
      </x:c>
      <x:c r="P144" s="40" t="str">
        <x:f>IF(A144="","",IF(OR(U144&gt;0,Listas!$B$13&lt;&gt;"OK"),"REVISAR DADOS",IF(J144=0,"ARQUIVAR LOTE",IF(M144="Quarentena","DECIDIR LIBERAÇÃO",IF(M144="Bloqueado","SEGREGAR E INVESTIGAR",IF(M144="Esgotado","REVISAR STATUS COM SALDO",IF(N144="VENCIDO","SEGREGAR E AVALIAR DESTINAÇÃO",IF(OR(N144="CRÍTICO",N144="VENCE NA JANELA"),"PRIORIZAR FEFO","MANTER ROTAÇÃO"))))))))</x:f>
      </x:c>
      <x:c r="Q144" s="27"/>
      <x:c r="R144" s="181" t="str">
        <x:f>IF(A144="","",IF(OR(U144&gt;0,Listas!$B$13&lt;&gt;"OK"),"n.a.",IF(OR(N144="VENCIDO",N144="CRÍTICO",N144="VENCE NA JANELA",M144="Quarentena",M144="Bloqueado"),L144,0)))</x:f>
      </x:c>
      <x:c r="S144" s="163" t="str">
        <x:f>IF(COUNTA(A144:B144,D144:G144,I144,K144,M144,Q144,AB144:AD144)=0,"",IF(OR(A144="",COUNTIFS($A$5:$A$204,A144)&lt;&gt;1),"Lote ausente ou duplicado",IF(OR(B144="",COUNTIFS(Produtos!$A$5:$A$204,B144)&lt;&gt;1),"SKU ausente ou desconhecido",IF(COUNTIFS(Produtos!$A$5:$A$204,B144,Produtos!$R$5:$R$204,1)&gt;0,"Revisar cadastro do produto",IF(OR(NOT(ISNUMBER(E144)),E144&lt;=0,NOT(ISNUMBER(G144)),G144&lt;=0,G144&lt;E144),"Recebimento ou validade inválida",IF(AND(F144&lt;&gt;"",OR(NOT(ISNUMBER(F144)),F144&lt;=0,F144&gt;E144)),"Fabricação inválida ou posterior ao recebimento",IF(OR(NOT(ISNUMBER(K144)),K144&lt;0,NOT(ISNUMBER(I144)),I144&lt;0),"Quantidade recebida ou custo inválido",IF(AND(M144&lt;&gt;"Liberado",M144&lt;&gt;"Quarentena",M144&lt;&gt;"Bloqueado",M144&lt;&gt;"Esgotado"),"Status de lote inválido",""))))))))</x:f>
      </x:c>
      <x:c r="T144" s="163" t="n">
        <x:f>IF(A144="",0,COUNTIFS(Movimentacoes!$D$5:$D$304,A144,Movimentacoes!$P$5:$P$304,1))</x:f>
        <x:v>0</x:v>
      </x:c>
      <x:c r="U144" s="163" t="n">
        <x:f>IF(COUNTA(A144:B144,D144:G144,I144,K144,M144,Q144,AB144:AD144)=0,0,IF(OR(S144&lt;&gt;"",T144&gt;0),1,IF(ISNUMBER(J144),IF(OR(J144&lt;0,AND(J144&gt;0,M144="Esgotado")),1,0),0)))</x:f>
        <x:v>0</x:v>
      </x:c>
      <x:c r="V144" s="163" t="str">
        <x:f>IF(A144="","",IF(OR(U144&gt;0,Listas!$B$13&lt;&gt;"OK"),"n.a.",IF(AND(J144&gt;0,M144="Liberado",G144&gt;=Listas!$B$6),J144,0)))</x:f>
      </x:c>
      <x:c r="W144" s="163" t="str">
        <x:f>IF(A144="","",IF(OR(U144&gt;0,Listas!$B$13&lt;&gt;"OK"),"n.a.",V144*K144))</x:f>
      </x:c>
      <x:c r="X144" s="167" t="n">
        <x:f>IF(COUNTA(A144:B144,D144:G144,I144,K144,M144,Q144,AB144:AD144)=0,0,IF(OR(Listas!$B$19="Todos",B144=Listas!$B$19,COUNTIFS(Produtos!$A$5:$A$204,B144)&lt;&gt;1),1,0))</x:f>
        <x:v>0</x:v>
      </x:c>
      <x:c r="Y144" s="167" t="str">
        <x:f>IF(X144=0,"",IF(Listas!$B$13&lt;&gt;"OK","Revisar parâmetros",IF(U144&gt;0,IF(S144&lt;&gt;"",S144,IF(T144&gt;0,"Revisar movimentos",IF(AND(ISNUMBER(J144),J144&lt;0),"Saldo negativo","Status esgotado com saldo"))),IF(AG144&lt;&gt;"",AG144&amp;". ","")&amp;IF(J144&lt;=0,"",IF(N144="VENCIDO","Validade vencida. ","")&amp;IF(M144="Quarentena","Em quarentena. ","")&amp;IF(M144="Bloqueado","Lote bloqueado. ","")&amp;IF(N144="CRÍTICO","Validade crítica. ","")&amp;IF(N144="VENCE NA JANELA","Vence na janela. ","")))))</x:f>
      </x:c>
      <x:c r="Z144" s="167" t="n">
        <x:f>IF(OR(X144=0,Y144=""),0,IF(OR(Listas!$B$13&lt;&gt;"OK",U144&gt;0,AH144&gt;0),1,IF(N144="VENCIDO",2,IF(OR(M144="Quarentena",M144="Bloqueado"),3,IF(N144="CRÍTICO",4,5)))))</x:f>
        <x:v>0</x:v>
      </x:c>
      <x:c r="AA144" s="167" t="n">
        <x:f>IF(Z144=0,0,COUNTIFS($Z$5:$Z$204,"&gt;0",$Z$5:$Z$204,"&lt;"&amp;Z144,$X$5:$X$204,1)+COUNTIFS($Z$5:Z144,Z144,$X$5:X144,1))</x:f>
        <x:v>0</x:v>
      </x:c>
      <x:c r="AB144" s="168"/>
      <x:c r="AC144" s="168"/>
      <x:c r="AD144" s="169"/>
      <x:c r="AE144" s="167" t="str">
        <x:f>IF(X144=0,"",IF(OR(U144&gt;0,Listas!$B$13&lt;&gt;"OK"),"Dados pendentes",IF(J144&lt;=0,"Sem saldo",IF(N144="VENCIDO","Vencidos",IF(OR(M144="Quarentena",M144="Bloqueado"),"Restritos vigentes",IF(OR(N144="CRÍTICO",N144="VENCE NA JANELA"),"Liberados na janela","Demais liberados"))))))</x:f>
      </x:c>
      <x:c r="AF144" s="167" t="str">
        <x:f>IF(A144&lt;&gt;"",A144,IF(U144&gt;0,"Sem ID (linha "&amp;ROW()&amp;")",""))</x:f>
      </x:c>
      <x:c r="AG144" s="167" t="str">
        <x:f>IF(AD144="","",IF(OR(NOT(ISNUMBER(AD144)),AD144&lt;=0),"Prazo da ação inválido",""))</x:f>
      </x:c>
      <x:c r="AH144" s="167" t="n">
        <x:f>IF(AG144="",0,1)</x:f>
        <x:v>0</x:v>
      </x:c>
    </x:row>
    <x:row r="145" ht="32" customHeight="1">
      <x:c r="A145" s="27"/>
      <x:c r="B145" s="27"/>
      <x:c r="C145" s="40" t="str">
        <x:f>IF($B145="","",IFERROR(INDEX(Produtos!$B$5:$B$204,MATCH($B145,Produtos!$A$5:$A$204,0)),""))</x:f>
      </x:c>
      <x:c r="D145" s="170"/>
      <x:c r="E145" s="179"/>
      <x:c r="F145" s="179"/>
      <x:c r="G145" s="179"/>
      <x:c r="H145" s="40" t="str">
        <x:f>IF(A145="","",IF(OR(S145&lt;&gt;"",Listas!$B$13&lt;&gt;"OK"),"n.a.",G145-Listas!$B$6))</x:f>
      </x:c>
      <x:c r="I145" s="40"/>
      <x:c r="J145" s="40" t="str">
        <x:f>IF(A145="","",IF(OR(S145&lt;&gt;"",T145&gt;0,Listas!$B$13&lt;&gt;"OK"),"n.a.",SUMIFS(Movimentacoes!$H$5:$H$304,Movimentacoes!$D$5:$D$304,A145,Movimentacoes!$B$5:$B$304,"&lt;="&amp;Listas!$B$6)))</x:f>
      </x:c>
      <x:c r="K145" s="180"/>
      <x:c r="L145" s="181" t="str">
        <x:f>IF(A145="","",IF(OR(U145&gt;0,Listas!$B$13&lt;&gt;"OK"),"n.a.",J145*K145))</x:f>
      </x:c>
      <x:c r="M145" s="27"/>
      <x:c r="N145" s="40" t="str">
        <x:f>IF(A145="","",IF(OR(U145&gt;0,Listas!$B$13&lt;&gt;"OK"),"REVISAR DADOS",IF(J145=0,"SEM SALDO",IF(G145&lt;Listas!$B$6,"VENCIDO",IF(H145&lt;=Listas!$B$7,"CRÍTICO",IF(H145&lt;=Listas!$B$8,"VENCE NA JANELA","OK"))))))</x:f>
      </x:c>
      <x:c r="O145" s="41" t="str">
        <x:f>IF(A145="","",IF(AND(ISNUMBER(V145),V145&gt;0),G145,""))</x:f>
      </x:c>
      <x:c r="P145" s="40" t="str">
        <x:f>IF(A145="","",IF(OR(U145&gt;0,Listas!$B$13&lt;&gt;"OK"),"REVISAR DADOS",IF(J145=0,"ARQUIVAR LOTE",IF(M145="Quarentena","DECIDIR LIBERAÇÃO",IF(M145="Bloqueado","SEGREGAR E INVESTIGAR",IF(M145="Esgotado","REVISAR STATUS COM SALDO",IF(N145="VENCIDO","SEGREGAR E AVALIAR DESTINAÇÃO",IF(OR(N145="CRÍTICO",N145="VENCE NA JANELA"),"PRIORIZAR FEFO","MANTER ROTAÇÃO"))))))))</x:f>
      </x:c>
      <x:c r="Q145" s="27"/>
      <x:c r="R145" s="181" t="str">
        <x:f>IF(A145="","",IF(OR(U145&gt;0,Listas!$B$13&lt;&gt;"OK"),"n.a.",IF(OR(N145="VENCIDO",N145="CRÍTICO",N145="VENCE NA JANELA",M145="Quarentena",M145="Bloqueado"),L145,0)))</x:f>
      </x:c>
      <x:c r="S145" s="163" t="str">
        <x:f>IF(COUNTA(A145:B145,D145:G145,I145,K145,M145,Q145,AB145:AD145)=0,"",IF(OR(A145="",COUNTIFS($A$5:$A$204,A145)&lt;&gt;1),"Lote ausente ou duplicado",IF(OR(B145="",COUNTIFS(Produtos!$A$5:$A$204,B145)&lt;&gt;1),"SKU ausente ou desconhecido",IF(COUNTIFS(Produtos!$A$5:$A$204,B145,Produtos!$R$5:$R$204,1)&gt;0,"Revisar cadastro do produto",IF(OR(NOT(ISNUMBER(E145)),E145&lt;=0,NOT(ISNUMBER(G145)),G145&lt;=0,G145&lt;E145),"Recebimento ou validade inválida",IF(AND(F145&lt;&gt;"",OR(NOT(ISNUMBER(F145)),F145&lt;=0,F145&gt;E145)),"Fabricação inválida ou posterior ao recebimento",IF(OR(NOT(ISNUMBER(K145)),K145&lt;0,NOT(ISNUMBER(I145)),I145&lt;0),"Quantidade recebida ou custo inválido",IF(AND(M145&lt;&gt;"Liberado",M145&lt;&gt;"Quarentena",M145&lt;&gt;"Bloqueado",M145&lt;&gt;"Esgotado"),"Status de lote inválido",""))))))))</x:f>
      </x:c>
      <x:c r="T145" s="163" t="n">
        <x:f>IF(A145="",0,COUNTIFS(Movimentacoes!$D$5:$D$304,A145,Movimentacoes!$P$5:$P$304,1))</x:f>
        <x:v>0</x:v>
      </x:c>
      <x:c r="U145" s="163" t="n">
        <x:f>IF(COUNTA(A145:B145,D145:G145,I145,K145,M145,Q145,AB145:AD145)=0,0,IF(OR(S145&lt;&gt;"",T145&gt;0),1,IF(ISNUMBER(J145),IF(OR(J145&lt;0,AND(J145&gt;0,M145="Esgotado")),1,0),0)))</x:f>
        <x:v>0</x:v>
      </x:c>
      <x:c r="V145" s="163" t="str">
        <x:f>IF(A145="","",IF(OR(U145&gt;0,Listas!$B$13&lt;&gt;"OK"),"n.a.",IF(AND(J145&gt;0,M145="Liberado",G145&gt;=Listas!$B$6),J145,0)))</x:f>
      </x:c>
      <x:c r="W145" s="163" t="str">
        <x:f>IF(A145="","",IF(OR(U145&gt;0,Listas!$B$13&lt;&gt;"OK"),"n.a.",V145*K145))</x:f>
      </x:c>
      <x:c r="X145" s="167" t="n">
        <x:f>IF(COUNTA(A145:B145,D145:G145,I145,K145,M145,Q145,AB145:AD145)=0,0,IF(OR(Listas!$B$19="Todos",B145=Listas!$B$19,COUNTIFS(Produtos!$A$5:$A$204,B145)&lt;&gt;1),1,0))</x:f>
        <x:v>0</x:v>
      </x:c>
      <x:c r="Y145" s="167" t="str">
        <x:f>IF(X145=0,"",IF(Listas!$B$13&lt;&gt;"OK","Revisar parâmetros",IF(U145&gt;0,IF(S145&lt;&gt;"",S145,IF(T145&gt;0,"Revisar movimentos",IF(AND(ISNUMBER(J145),J145&lt;0),"Saldo negativo","Status esgotado com saldo"))),IF(AG145&lt;&gt;"",AG145&amp;". ","")&amp;IF(J145&lt;=0,"",IF(N145="VENCIDO","Validade vencida. ","")&amp;IF(M145="Quarentena","Em quarentena. ","")&amp;IF(M145="Bloqueado","Lote bloqueado. ","")&amp;IF(N145="CRÍTICO","Validade crítica. ","")&amp;IF(N145="VENCE NA JANELA","Vence na janela. ","")))))</x:f>
      </x:c>
      <x:c r="Z145" s="167" t="n">
        <x:f>IF(OR(X145=0,Y145=""),0,IF(OR(Listas!$B$13&lt;&gt;"OK",U145&gt;0,AH145&gt;0),1,IF(N145="VENCIDO",2,IF(OR(M145="Quarentena",M145="Bloqueado"),3,IF(N145="CRÍTICO",4,5)))))</x:f>
        <x:v>0</x:v>
      </x:c>
      <x:c r="AA145" s="167" t="n">
        <x:f>IF(Z145=0,0,COUNTIFS($Z$5:$Z$204,"&gt;0",$Z$5:$Z$204,"&lt;"&amp;Z145,$X$5:$X$204,1)+COUNTIFS($Z$5:Z145,Z145,$X$5:X145,1))</x:f>
        <x:v>0</x:v>
      </x:c>
      <x:c r="AB145" s="168"/>
      <x:c r="AC145" s="168"/>
      <x:c r="AD145" s="169"/>
      <x:c r="AE145" s="167" t="str">
        <x:f>IF(X145=0,"",IF(OR(U145&gt;0,Listas!$B$13&lt;&gt;"OK"),"Dados pendentes",IF(J145&lt;=0,"Sem saldo",IF(N145="VENCIDO","Vencidos",IF(OR(M145="Quarentena",M145="Bloqueado"),"Restritos vigentes",IF(OR(N145="CRÍTICO",N145="VENCE NA JANELA"),"Liberados na janela","Demais liberados"))))))</x:f>
      </x:c>
      <x:c r="AF145" s="167" t="str">
        <x:f>IF(A145&lt;&gt;"",A145,IF(U145&gt;0,"Sem ID (linha "&amp;ROW()&amp;")",""))</x:f>
      </x:c>
      <x:c r="AG145" s="167" t="str">
        <x:f>IF(AD145="","",IF(OR(NOT(ISNUMBER(AD145)),AD145&lt;=0),"Prazo da ação inválido",""))</x:f>
      </x:c>
      <x:c r="AH145" s="167" t="n">
        <x:f>IF(AG145="",0,1)</x:f>
        <x:v>0</x:v>
      </x:c>
    </x:row>
    <x:row r="146" ht="32" customHeight="1">
      <x:c r="A146" s="27"/>
      <x:c r="B146" s="27"/>
      <x:c r="C146" s="40" t="str">
        <x:f>IF($B146="","",IFERROR(INDEX(Produtos!$B$5:$B$204,MATCH($B146,Produtos!$A$5:$A$204,0)),""))</x:f>
      </x:c>
      <x:c r="D146" s="170"/>
      <x:c r="E146" s="179"/>
      <x:c r="F146" s="179"/>
      <x:c r="G146" s="179"/>
      <x:c r="H146" s="40" t="str">
        <x:f>IF(A146="","",IF(OR(S146&lt;&gt;"",Listas!$B$13&lt;&gt;"OK"),"n.a.",G146-Listas!$B$6))</x:f>
      </x:c>
      <x:c r="I146" s="40"/>
      <x:c r="J146" s="40" t="str">
        <x:f>IF(A146="","",IF(OR(S146&lt;&gt;"",T146&gt;0,Listas!$B$13&lt;&gt;"OK"),"n.a.",SUMIFS(Movimentacoes!$H$5:$H$304,Movimentacoes!$D$5:$D$304,A146,Movimentacoes!$B$5:$B$304,"&lt;="&amp;Listas!$B$6)))</x:f>
      </x:c>
      <x:c r="K146" s="180"/>
      <x:c r="L146" s="181" t="str">
        <x:f>IF(A146="","",IF(OR(U146&gt;0,Listas!$B$13&lt;&gt;"OK"),"n.a.",J146*K146))</x:f>
      </x:c>
      <x:c r="M146" s="27"/>
      <x:c r="N146" s="40" t="str">
        <x:f>IF(A146="","",IF(OR(U146&gt;0,Listas!$B$13&lt;&gt;"OK"),"REVISAR DADOS",IF(J146=0,"SEM SALDO",IF(G146&lt;Listas!$B$6,"VENCIDO",IF(H146&lt;=Listas!$B$7,"CRÍTICO",IF(H146&lt;=Listas!$B$8,"VENCE NA JANELA","OK"))))))</x:f>
      </x:c>
      <x:c r="O146" s="41" t="str">
        <x:f>IF(A146="","",IF(AND(ISNUMBER(V146),V146&gt;0),G146,""))</x:f>
      </x:c>
      <x:c r="P146" s="40" t="str">
        <x:f>IF(A146="","",IF(OR(U146&gt;0,Listas!$B$13&lt;&gt;"OK"),"REVISAR DADOS",IF(J146=0,"ARQUIVAR LOTE",IF(M146="Quarentena","DECIDIR LIBERAÇÃO",IF(M146="Bloqueado","SEGREGAR E INVESTIGAR",IF(M146="Esgotado","REVISAR STATUS COM SALDO",IF(N146="VENCIDO","SEGREGAR E AVALIAR DESTINAÇÃO",IF(OR(N146="CRÍTICO",N146="VENCE NA JANELA"),"PRIORIZAR FEFO","MANTER ROTAÇÃO"))))))))</x:f>
      </x:c>
      <x:c r="Q146" s="27"/>
      <x:c r="R146" s="181" t="str">
        <x:f>IF(A146="","",IF(OR(U146&gt;0,Listas!$B$13&lt;&gt;"OK"),"n.a.",IF(OR(N146="VENCIDO",N146="CRÍTICO",N146="VENCE NA JANELA",M146="Quarentena",M146="Bloqueado"),L146,0)))</x:f>
      </x:c>
      <x:c r="S146" s="163" t="str">
        <x:f>IF(COUNTA(A146:B146,D146:G146,I146,K146,M146,Q146,AB146:AD146)=0,"",IF(OR(A146="",COUNTIFS($A$5:$A$204,A146)&lt;&gt;1),"Lote ausente ou duplicado",IF(OR(B146="",COUNTIFS(Produtos!$A$5:$A$204,B146)&lt;&gt;1),"SKU ausente ou desconhecido",IF(COUNTIFS(Produtos!$A$5:$A$204,B146,Produtos!$R$5:$R$204,1)&gt;0,"Revisar cadastro do produto",IF(OR(NOT(ISNUMBER(E146)),E146&lt;=0,NOT(ISNUMBER(G146)),G146&lt;=0,G146&lt;E146),"Recebimento ou validade inválida",IF(AND(F146&lt;&gt;"",OR(NOT(ISNUMBER(F146)),F146&lt;=0,F146&gt;E146)),"Fabricação inválida ou posterior ao recebimento",IF(OR(NOT(ISNUMBER(K146)),K146&lt;0,NOT(ISNUMBER(I146)),I146&lt;0),"Quantidade recebida ou custo inválido",IF(AND(M146&lt;&gt;"Liberado",M146&lt;&gt;"Quarentena",M146&lt;&gt;"Bloqueado",M146&lt;&gt;"Esgotado"),"Status de lote inválido",""))))))))</x:f>
      </x:c>
      <x:c r="T146" s="163" t="n">
        <x:f>IF(A146="",0,COUNTIFS(Movimentacoes!$D$5:$D$304,A146,Movimentacoes!$P$5:$P$304,1))</x:f>
        <x:v>0</x:v>
      </x:c>
      <x:c r="U146" s="163" t="n">
        <x:f>IF(COUNTA(A146:B146,D146:G146,I146,K146,M146,Q146,AB146:AD146)=0,0,IF(OR(S146&lt;&gt;"",T146&gt;0),1,IF(ISNUMBER(J146),IF(OR(J146&lt;0,AND(J146&gt;0,M146="Esgotado")),1,0),0)))</x:f>
        <x:v>0</x:v>
      </x:c>
      <x:c r="V146" s="163" t="str">
        <x:f>IF(A146="","",IF(OR(U146&gt;0,Listas!$B$13&lt;&gt;"OK"),"n.a.",IF(AND(J146&gt;0,M146="Liberado",G146&gt;=Listas!$B$6),J146,0)))</x:f>
      </x:c>
      <x:c r="W146" s="163" t="str">
        <x:f>IF(A146="","",IF(OR(U146&gt;0,Listas!$B$13&lt;&gt;"OK"),"n.a.",V146*K146))</x:f>
      </x:c>
      <x:c r="X146" s="167" t="n">
        <x:f>IF(COUNTA(A146:B146,D146:G146,I146,K146,M146,Q146,AB146:AD146)=0,0,IF(OR(Listas!$B$19="Todos",B146=Listas!$B$19,COUNTIFS(Produtos!$A$5:$A$204,B146)&lt;&gt;1),1,0))</x:f>
        <x:v>0</x:v>
      </x:c>
      <x:c r="Y146" s="167" t="str">
        <x:f>IF(X146=0,"",IF(Listas!$B$13&lt;&gt;"OK","Revisar parâmetros",IF(U146&gt;0,IF(S146&lt;&gt;"",S146,IF(T146&gt;0,"Revisar movimentos",IF(AND(ISNUMBER(J146),J146&lt;0),"Saldo negativo","Status esgotado com saldo"))),IF(AG146&lt;&gt;"",AG146&amp;". ","")&amp;IF(J146&lt;=0,"",IF(N146="VENCIDO","Validade vencida. ","")&amp;IF(M146="Quarentena","Em quarentena. ","")&amp;IF(M146="Bloqueado","Lote bloqueado. ","")&amp;IF(N146="CRÍTICO","Validade crítica. ","")&amp;IF(N146="VENCE NA JANELA","Vence na janela. ","")))))</x:f>
      </x:c>
      <x:c r="Z146" s="167" t="n">
        <x:f>IF(OR(X146=0,Y146=""),0,IF(OR(Listas!$B$13&lt;&gt;"OK",U146&gt;0,AH146&gt;0),1,IF(N146="VENCIDO",2,IF(OR(M146="Quarentena",M146="Bloqueado"),3,IF(N146="CRÍTICO",4,5)))))</x:f>
        <x:v>0</x:v>
      </x:c>
      <x:c r="AA146" s="167" t="n">
        <x:f>IF(Z146=0,0,COUNTIFS($Z$5:$Z$204,"&gt;0",$Z$5:$Z$204,"&lt;"&amp;Z146,$X$5:$X$204,1)+COUNTIFS($Z$5:Z146,Z146,$X$5:X146,1))</x:f>
        <x:v>0</x:v>
      </x:c>
      <x:c r="AB146" s="168"/>
      <x:c r="AC146" s="168"/>
      <x:c r="AD146" s="169"/>
      <x:c r="AE146" s="167" t="str">
        <x:f>IF(X146=0,"",IF(OR(U146&gt;0,Listas!$B$13&lt;&gt;"OK"),"Dados pendentes",IF(J146&lt;=0,"Sem saldo",IF(N146="VENCIDO","Vencidos",IF(OR(M146="Quarentena",M146="Bloqueado"),"Restritos vigentes",IF(OR(N146="CRÍTICO",N146="VENCE NA JANELA"),"Liberados na janela","Demais liberados"))))))</x:f>
      </x:c>
      <x:c r="AF146" s="167" t="str">
        <x:f>IF(A146&lt;&gt;"",A146,IF(U146&gt;0,"Sem ID (linha "&amp;ROW()&amp;")",""))</x:f>
      </x:c>
      <x:c r="AG146" s="167" t="str">
        <x:f>IF(AD146="","",IF(OR(NOT(ISNUMBER(AD146)),AD146&lt;=0),"Prazo da ação inválido",""))</x:f>
      </x:c>
      <x:c r="AH146" s="167" t="n">
        <x:f>IF(AG146="",0,1)</x:f>
        <x:v>0</x:v>
      </x:c>
    </x:row>
    <x:row r="147" ht="32" customHeight="1">
      <x:c r="A147" s="27"/>
      <x:c r="B147" s="27"/>
      <x:c r="C147" s="40" t="str">
        <x:f>IF($B147="","",IFERROR(INDEX(Produtos!$B$5:$B$204,MATCH($B147,Produtos!$A$5:$A$204,0)),""))</x:f>
      </x:c>
      <x:c r="D147" s="170"/>
      <x:c r="E147" s="179"/>
      <x:c r="F147" s="179"/>
      <x:c r="G147" s="179"/>
      <x:c r="H147" s="40" t="str">
        <x:f>IF(A147="","",IF(OR(S147&lt;&gt;"",Listas!$B$13&lt;&gt;"OK"),"n.a.",G147-Listas!$B$6))</x:f>
      </x:c>
      <x:c r="I147" s="40"/>
      <x:c r="J147" s="40" t="str">
        <x:f>IF(A147="","",IF(OR(S147&lt;&gt;"",T147&gt;0,Listas!$B$13&lt;&gt;"OK"),"n.a.",SUMIFS(Movimentacoes!$H$5:$H$304,Movimentacoes!$D$5:$D$304,A147,Movimentacoes!$B$5:$B$304,"&lt;="&amp;Listas!$B$6)))</x:f>
      </x:c>
      <x:c r="K147" s="180"/>
      <x:c r="L147" s="181" t="str">
        <x:f>IF(A147="","",IF(OR(U147&gt;0,Listas!$B$13&lt;&gt;"OK"),"n.a.",J147*K147))</x:f>
      </x:c>
      <x:c r="M147" s="27"/>
      <x:c r="N147" s="40" t="str">
        <x:f>IF(A147="","",IF(OR(U147&gt;0,Listas!$B$13&lt;&gt;"OK"),"REVISAR DADOS",IF(J147=0,"SEM SALDO",IF(G147&lt;Listas!$B$6,"VENCIDO",IF(H147&lt;=Listas!$B$7,"CRÍTICO",IF(H147&lt;=Listas!$B$8,"VENCE NA JANELA","OK"))))))</x:f>
      </x:c>
      <x:c r="O147" s="41" t="str">
        <x:f>IF(A147="","",IF(AND(ISNUMBER(V147),V147&gt;0),G147,""))</x:f>
      </x:c>
      <x:c r="P147" s="40" t="str">
        <x:f>IF(A147="","",IF(OR(U147&gt;0,Listas!$B$13&lt;&gt;"OK"),"REVISAR DADOS",IF(J147=0,"ARQUIVAR LOTE",IF(M147="Quarentena","DECIDIR LIBERAÇÃO",IF(M147="Bloqueado","SEGREGAR E INVESTIGAR",IF(M147="Esgotado","REVISAR STATUS COM SALDO",IF(N147="VENCIDO","SEGREGAR E AVALIAR DESTINAÇÃO",IF(OR(N147="CRÍTICO",N147="VENCE NA JANELA"),"PRIORIZAR FEFO","MANTER ROTAÇÃO"))))))))</x:f>
      </x:c>
      <x:c r="Q147" s="27"/>
      <x:c r="R147" s="181" t="str">
        <x:f>IF(A147="","",IF(OR(U147&gt;0,Listas!$B$13&lt;&gt;"OK"),"n.a.",IF(OR(N147="VENCIDO",N147="CRÍTICO",N147="VENCE NA JANELA",M147="Quarentena",M147="Bloqueado"),L147,0)))</x:f>
      </x:c>
      <x:c r="S147" s="163" t="str">
        <x:f>IF(COUNTA(A147:B147,D147:G147,I147,K147,M147,Q147,AB147:AD147)=0,"",IF(OR(A147="",COUNTIFS($A$5:$A$204,A147)&lt;&gt;1),"Lote ausente ou duplicado",IF(OR(B147="",COUNTIFS(Produtos!$A$5:$A$204,B147)&lt;&gt;1),"SKU ausente ou desconhecido",IF(COUNTIFS(Produtos!$A$5:$A$204,B147,Produtos!$R$5:$R$204,1)&gt;0,"Revisar cadastro do produto",IF(OR(NOT(ISNUMBER(E147)),E147&lt;=0,NOT(ISNUMBER(G147)),G147&lt;=0,G147&lt;E147),"Recebimento ou validade inválida",IF(AND(F147&lt;&gt;"",OR(NOT(ISNUMBER(F147)),F147&lt;=0,F147&gt;E147)),"Fabricação inválida ou posterior ao recebimento",IF(OR(NOT(ISNUMBER(K147)),K147&lt;0,NOT(ISNUMBER(I147)),I147&lt;0),"Quantidade recebida ou custo inválido",IF(AND(M147&lt;&gt;"Liberado",M147&lt;&gt;"Quarentena",M147&lt;&gt;"Bloqueado",M147&lt;&gt;"Esgotado"),"Status de lote inválido",""))))))))</x:f>
      </x:c>
      <x:c r="T147" s="163" t="n">
        <x:f>IF(A147="",0,COUNTIFS(Movimentacoes!$D$5:$D$304,A147,Movimentacoes!$P$5:$P$304,1))</x:f>
        <x:v>0</x:v>
      </x:c>
      <x:c r="U147" s="163" t="n">
        <x:f>IF(COUNTA(A147:B147,D147:G147,I147,K147,M147,Q147,AB147:AD147)=0,0,IF(OR(S147&lt;&gt;"",T147&gt;0),1,IF(ISNUMBER(J147),IF(OR(J147&lt;0,AND(J147&gt;0,M147="Esgotado")),1,0),0)))</x:f>
        <x:v>0</x:v>
      </x:c>
      <x:c r="V147" s="163" t="str">
        <x:f>IF(A147="","",IF(OR(U147&gt;0,Listas!$B$13&lt;&gt;"OK"),"n.a.",IF(AND(J147&gt;0,M147="Liberado",G147&gt;=Listas!$B$6),J147,0)))</x:f>
      </x:c>
      <x:c r="W147" s="163" t="str">
        <x:f>IF(A147="","",IF(OR(U147&gt;0,Listas!$B$13&lt;&gt;"OK"),"n.a.",V147*K147))</x:f>
      </x:c>
      <x:c r="X147" s="167" t="n">
        <x:f>IF(COUNTA(A147:B147,D147:G147,I147,K147,M147,Q147,AB147:AD147)=0,0,IF(OR(Listas!$B$19="Todos",B147=Listas!$B$19,COUNTIFS(Produtos!$A$5:$A$204,B147)&lt;&gt;1),1,0))</x:f>
        <x:v>0</x:v>
      </x:c>
      <x:c r="Y147" s="167" t="str">
        <x:f>IF(X147=0,"",IF(Listas!$B$13&lt;&gt;"OK","Revisar parâmetros",IF(U147&gt;0,IF(S147&lt;&gt;"",S147,IF(T147&gt;0,"Revisar movimentos",IF(AND(ISNUMBER(J147),J147&lt;0),"Saldo negativo","Status esgotado com saldo"))),IF(AG147&lt;&gt;"",AG147&amp;". ","")&amp;IF(J147&lt;=0,"",IF(N147="VENCIDO","Validade vencida. ","")&amp;IF(M147="Quarentena","Em quarentena. ","")&amp;IF(M147="Bloqueado","Lote bloqueado. ","")&amp;IF(N147="CRÍTICO","Validade crítica. ","")&amp;IF(N147="VENCE NA JANELA","Vence na janela. ","")))))</x:f>
      </x:c>
      <x:c r="Z147" s="167" t="n">
        <x:f>IF(OR(X147=0,Y147=""),0,IF(OR(Listas!$B$13&lt;&gt;"OK",U147&gt;0,AH147&gt;0),1,IF(N147="VENCIDO",2,IF(OR(M147="Quarentena",M147="Bloqueado"),3,IF(N147="CRÍTICO",4,5)))))</x:f>
        <x:v>0</x:v>
      </x:c>
      <x:c r="AA147" s="167" t="n">
        <x:f>IF(Z147=0,0,COUNTIFS($Z$5:$Z$204,"&gt;0",$Z$5:$Z$204,"&lt;"&amp;Z147,$X$5:$X$204,1)+COUNTIFS($Z$5:Z147,Z147,$X$5:X147,1))</x:f>
        <x:v>0</x:v>
      </x:c>
      <x:c r="AB147" s="168"/>
      <x:c r="AC147" s="168"/>
      <x:c r="AD147" s="169"/>
      <x:c r="AE147" s="167" t="str">
        <x:f>IF(X147=0,"",IF(OR(U147&gt;0,Listas!$B$13&lt;&gt;"OK"),"Dados pendentes",IF(J147&lt;=0,"Sem saldo",IF(N147="VENCIDO","Vencidos",IF(OR(M147="Quarentena",M147="Bloqueado"),"Restritos vigentes",IF(OR(N147="CRÍTICO",N147="VENCE NA JANELA"),"Liberados na janela","Demais liberados"))))))</x:f>
      </x:c>
      <x:c r="AF147" s="167" t="str">
        <x:f>IF(A147&lt;&gt;"",A147,IF(U147&gt;0,"Sem ID (linha "&amp;ROW()&amp;")",""))</x:f>
      </x:c>
      <x:c r="AG147" s="167" t="str">
        <x:f>IF(AD147="","",IF(OR(NOT(ISNUMBER(AD147)),AD147&lt;=0),"Prazo da ação inválido",""))</x:f>
      </x:c>
      <x:c r="AH147" s="167" t="n">
        <x:f>IF(AG147="",0,1)</x:f>
        <x:v>0</x:v>
      </x:c>
    </x:row>
    <x:row r="148" ht="32" customHeight="1">
      <x:c r="A148" s="27"/>
      <x:c r="B148" s="27"/>
      <x:c r="C148" s="40" t="str">
        <x:f>IF($B148="","",IFERROR(INDEX(Produtos!$B$5:$B$204,MATCH($B148,Produtos!$A$5:$A$204,0)),""))</x:f>
      </x:c>
      <x:c r="D148" s="170"/>
      <x:c r="E148" s="179"/>
      <x:c r="F148" s="179"/>
      <x:c r="G148" s="179"/>
      <x:c r="H148" s="40" t="str">
        <x:f>IF(A148="","",IF(OR(S148&lt;&gt;"",Listas!$B$13&lt;&gt;"OK"),"n.a.",G148-Listas!$B$6))</x:f>
      </x:c>
      <x:c r="I148" s="40"/>
      <x:c r="J148" s="40" t="str">
        <x:f>IF(A148="","",IF(OR(S148&lt;&gt;"",T148&gt;0,Listas!$B$13&lt;&gt;"OK"),"n.a.",SUMIFS(Movimentacoes!$H$5:$H$304,Movimentacoes!$D$5:$D$304,A148,Movimentacoes!$B$5:$B$304,"&lt;="&amp;Listas!$B$6)))</x:f>
      </x:c>
      <x:c r="K148" s="180"/>
      <x:c r="L148" s="181" t="str">
        <x:f>IF(A148="","",IF(OR(U148&gt;0,Listas!$B$13&lt;&gt;"OK"),"n.a.",J148*K148))</x:f>
      </x:c>
      <x:c r="M148" s="27"/>
      <x:c r="N148" s="40" t="str">
        <x:f>IF(A148="","",IF(OR(U148&gt;0,Listas!$B$13&lt;&gt;"OK"),"REVISAR DADOS",IF(J148=0,"SEM SALDO",IF(G148&lt;Listas!$B$6,"VENCIDO",IF(H148&lt;=Listas!$B$7,"CRÍTICO",IF(H148&lt;=Listas!$B$8,"VENCE NA JANELA","OK"))))))</x:f>
      </x:c>
      <x:c r="O148" s="41" t="str">
        <x:f>IF(A148="","",IF(AND(ISNUMBER(V148),V148&gt;0),G148,""))</x:f>
      </x:c>
      <x:c r="P148" s="40" t="str">
        <x:f>IF(A148="","",IF(OR(U148&gt;0,Listas!$B$13&lt;&gt;"OK"),"REVISAR DADOS",IF(J148=0,"ARQUIVAR LOTE",IF(M148="Quarentena","DECIDIR LIBERAÇÃO",IF(M148="Bloqueado","SEGREGAR E INVESTIGAR",IF(M148="Esgotado","REVISAR STATUS COM SALDO",IF(N148="VENCIDO","SEGREGAR E AVALIAR DESTINAÇÃO",IF(OR(N148="CRÍTICO",N148="VENCE NA JANELA"),"PRIORIZAR FEFO","MANTER ROTAÇÃO"))))))))</x:f>
      </x:c>
      <x:c r="Q148" s="27"/>
      <x:c r="R148" s="181" t="str">
        <x:f>IF(A148="","",IF(OR(U148&gt;0,Listas!$B$13&lt;&gt;"OK"),"n.a.",IF(OR(N148="VENCIDO",N148="CRÍTICO",N148="VENCE NA JANELA",M148="Quarentena",M148="Bloqueado"),L148,0)))</x:f>
      </x:c>
      <x:c r="S148" s="163" t="str">
        <x:f>IF(COUNTA(A148:B148,D148:G148,I148,K148,M148,Q148,AB148:AD148)=0,"",IF(OR(A148="",COUNTIFS($A$5:$A$204,A148)&lt;&gt;1),"Lote ausente ou duplicado",IF(OR(B148="",COUNTIFS(Produtos!$A$5:$A$204,B148)&lt;&gt;1),"SKU ausente ou desconhecido",IF(COUNTIFS(Produtos!$A$5:$A$204,B148,Produtos!$R$5:$R$204,1)&gt;0,"Revisar cadastro do produto",IF(OR(NOT(ISNUMBER(E148)),E148&lt;=0,NOT(ISNUMBER(G148)),G148&lt;=0,G148&lt;E148),"Recebimento ou validade inválida",IF(AND(F148&lt;&gt;"",OR(NOT(ISNUMBER(F148)),F148&lt;=0,F148&gt;E148)),"Fabricação inválida ou posterior ao recebimento",IF(OR(NOT(ISNUMBER(K148)),K148&lt;0,NOT(ISNUMBER(I148)),I148&lt;0),"Quantidade recebida ou custo inválido",IF(AND(M148&lt;&gt;"Liberado",M148&lt;&gt;"Quarentena",M148&lt;&gt;"Bloqueado",M148&lt;&gt;"Esgotado"),"Status de lote inválido",""))))))))</x:f>
      </x:c>
      <x:c r="T148" s="163" t="n">
        <x:f>IF(A148="",0,COUNTIFS(Movimentacoes!$D$5:$D$304,A148,Movimentacoes!$P$5:$P$304,1))</x:f>
        <x:v>0</x:v>
      </x:c>
      <x:c r="U148" s="163" t="n">
        <x:f>IF(COUNTA(A148:B148,D148:G148,I148,K148,M148,Q148,AB148:AD148)=0,0,IF(OR(S148&lt;&gt;"",T148&gt;0),1,IF(ISNUMBER(J148),IF(OR(J148&lt;0,AND(J148&gt;0,M148="Esgotado")),1,0),0)))</x:f>
        <x:v>0</x:v>
      </x:c>
      <x:c r="V148" s="163" t="str">
        <x:f>IF(A148="","",IF(OR(U148&gt;0,Listas!$B$13&lt;&gt;"OK"),"n.a.",IF(AND(J148&gt;0,M148="Liberado",G148&gt;=Listas!$B$6),J148,0)))</x:f>
      </x:c>
      <x:c r="W148" s="163" t="str">
        <x:f>IF(A148="","",IF(OR(U148&gt;0,Listas!$B$13&lt;&gt;"OK"),"n.a.",V148*K148))</x:f>
      </x:c>
      <x:c r="X148" s="167" t="n">
        <x:f>IF(COUNTA(A148:B148,D148:G148,I148,K148,M148,Q148,AB148:AD148)=0,0,IF(OR(Listas!$B$19="Todos",B148=Listas!$B$19,COUNTIFS(Produtos!$A$5:$A$204,B148)&lt;&gt;1),1,0))</x:f>
        <x:v>0</x:v>
      </x:c>
      <x:c r="Y148" s="167" t="str">
        <x:f>IF(X148=0,"",IF(Listas!$B$13&lt;&gt;"OK","Revisar parâmetros",IF(U148&gt;0,IF(S148&lt;&gt;"",S148,IF(T148&gt;0,"Revisar movimentos",IF(AND(ISNUMBER(J148),J148&lt;0),"Saldo negativo","Status esgotado com saldo"))),IF(AG148&lt;&gt;"",AG148&amp;". ","")&amp;IF(J148&lt;=0,"",IF(N148="VENCIDO","Validade vencida. ","")&amp;IF(M148="Quarentena","Em quarentena. ","")&amp;IF(M148="Bloqueado","Lote bloqueado. ","")&amp;IF(N148="CRÍTICO","Validade crítica. ","")&amp;IF(N148="VENCE NA JANELA","Vence na janela. ","")))))</x:f>
      </x:c>
      <x:c r="Z148" s="167" t="n">
        <x:f>IF(OR(X148=0,Y148=""),0,IF(OR(Listas!$B$13&lt;&gt;"OK",U148&gt;0,AH148&gt;0),1,IF(N148="VENCIDO",2,IF(OR(M148="Quarentena",M148="Bloqueado"),3,IF(N148="CRÍTICO",4,5)))))</x:f>
        <x:v>0</x:v>
      </x:c>
      <x:c r="AA148" s="167" t="n">
        <x:f>IF(Z148=0,0,COUNTIFS($Z$5:$Z$204,"&gt;0",$Z$5:$Z$204,"&lt;"&amp;Z148,$X$5:$X$204,1)+COUNTIFS($Z$5:Z148,Z148,$X$5:X148,1))</x:f>
        <x:v>0</x:v>
      </x:c>
      <x:c r="AB148" s="168"/>
      <x:c r="AC148" s="168"/>
      <x:c r="AD148" s="169"/>
      <x:c r="AE148" s="167" t="str">
        <x:f>IF(X148=0,"",IF(OR(U148&gt;0,Listas!$B$13&lt;&gt;"OK"),"Dados pendentes",IF(J148&lt;=0,"Sem saldo",IF(N148="VENCIDO","Vencidos",IF(OR(M148="Quarentena",M148="Bloqueado"),"Restritos vigentes",IF(OR(N148="CRÍTICO",N148="VENCE NA JANELA"),"Liberados na janela","Demais liberados"))))))</x:f>
      </x:c>
      <x:c r="AF148" s="167" t="str">
        <x:f>IF(A148&lt;&gt;"",A148,IF(U148&gt;0,"Sem ID (linha "&amp;ROW()&amp;")",""))</x:f>
      </x:c>
      <x:c r="AG148" s="167" t="str">
        <x:f>IF(AD148="","",IF(OR(NOT(ISNUMBER(AD148)),AD148&lt;=0),"Prazo da ação inválido",""))</x:f>
      </x:c>
      <x:c r="AH148" s="167" t="n">
        <x:f>IF(AG148="",0,1)</x:f>
        <x:v>0</x:v>
      </x:c>
    </x:row>
    <x:row r="149" ht="32" customHeight="1">
      <x:c r="A149" s="27"/>
      <x:c r="B149" s="27"/>
      <x:c r="C149" s="40" t="str">
        <x:f>IF($B149="","",IFERROR(INDEX(Produtos!$B$5:$B$204,MATCH($B149,Produtos!$A$5:$A$204,0)),""))</x:f>
      </x:c>
      <x:c r="D149" s="170"/>
      <x:c r="E149" s="179"/>
      <x:c r="F149" s="179"/>
      <x:c r="G149" s="179"/>
      <x:c r="H149" s="40" t="str">
        <x:f>IF(A149="","",IF(OR(S149&lt;&gt;"",Listas!$B$13&lt;&gt;"OK"),"n.a.",G149-Listas!$B$6))</x:f>
      </x:c>
      <x:c r="I149" s="40"/>
      <x:c r="J149" s="40" t="str">
        <x:f>IF(A149="","",IF(OR(S149&lt;&gt;"",T149&gt;0,Listas!$B$13&lt;&gt;"OK"),"n.a.",SUMIFS(Movimentacoes!$H$5:$H$304,Movimentacoes!$D$5:$D$304,A149,Movimentacoes!$B$5:$B$304,"&lt;="&amp;Listas!$B$6)))</x:f>
      </x:c>
      <x:c r="K149" s="180"/>
      <x:c r="L149" s="181" t="str">
        <x:f>IF(A149="","",IF(OR(U149&gt;0,Listas!$B$13&lt;&gt;"OK"),"n.a.",J149*K149))</x:f>
      </x:c>
      <x:c r="M149" s="27"/>
      <x:c r="N149" s="40" t="str">
        <x:f>IF(A149="","",IF(OR(U149&gt;0,Listas!$B$13&lt;&gt;"OK"),"REVISAR DADOS",IF(J149=0,"SEM SALDO",IF(G149&lt;Listas!$B$6,"VENCIDO",IF(H149&lt;=Listas!$B$7,"CRÍTICO",IF(H149&lt;=Listas!$B$8,"VENCE NA JANELA","OK"))))))</x:f>
      </x:c>
      <x:c r="O149" s="41" t="str">
        <x:f>IF(A149="","",IF(AND(ISNUMBER(V149),V149&gt;0),G149,""))</x:f>
      </x:c>
      <x:c r="P149" s="40" t="str">
        <x:f>IF(A149="","",IF(OR(U149&gt;0,Listas!$B$13&lt;&gt;"OK"),"REVISAR DADOS",IF(J149=0,"ARQUIVAR LOTE",IF(M149="Quarentena","DECIDIR LIBERAÇÃO",IF(M149="Bloqueado","SEGREGAR E INVESTIGAR",IF(M149="Esgotado","REVISAR STATUS COM SALDO",IF(N149="VENCIDO","SEGREGAR E AVALIAR DESTINAÇÃO",IF(OR(N149="CRÍTICO",N149="VENCE NA JANELA"),"PRIORIZAR FEFO","MANTER ROTAÇÃO"))))))))</x:f>
      </x:c>
      <x:c r="Q149" s="27"/>
      <x:c r="R149" s="181" t="str">
        <x:f>IF(A149="","",IF(OR(U149&gt;0,Listas!$B$13&lt;&gt;"OK"),"n.a.",IF(OR(N149="VENCIDO",N149="CRÍTICO",N149="VENCE NA JANELA",M149="Quarentena",M149="Bloqueado"),L149,0)))</x:f>
      </x:c>
      <x:c r="S149" s="163" t="str">
        <x:f>IF(COUNTA(A149:B149,D149:G149,I149,K149,M149,Q149,AB149:AD149)=0,"",IF(OR(A149="",COUNTIFS($A$5:$A$204,A149)&lt;&gt;1),"Lote ausente ou duplicado",IF(OR(B149="",COUNTIFS(Produtos!$A$5:$A$204,B149)&lt;&gt;1),"SKU ausente ou desconhecido",IF(COUNTIFS(Produtos!$A$5:$A$204,B149,Produtos!$R$5:$R$204,1)&gt;0,"Revisar cadastro do produto",IF(OR(NOT(ISNUMBER(E149)),E149&lt;=0,NOT(ISNUMBER(G149)),G149&lt;=0,G149&lt;E149),"Recebimento ou validade inválida",IF(AND(F149&lt;&gt;"",OR(NOT(ISNUMBER(F149)),F149&lt;=0,F149&gt;E149)),"Fabricação inválida ou posterior ao recebimento",IF(OR(NOT(ISNUMBER(K149)),K149&lt;0,NOT(ISNUMBER(I149)),I149&lt;0),"Quantidade recebida ou custo inválido",IF(AND(M149&lt;&gt;"Liberado",M149&lt;&gt;"Quarentena",M149&lt;&gt;"Bloqueado",M149&lt;&gt;"Esgotado"),"Status de lote inválido",""))))))))</x:f>
      </x:c>
      <x:c r="T149" s="163" t="n">
        <x:f>IF(A149="",0,COUNTIFS(Movimentacoes!$D$5:$D$304,A149,Movimentacoes!$P$5:$P$304,1))</x:f>
        <x:v>0</x:v>
      </x:c>
      <x:c r="U149" s="163" t="n">
        <x:f>IF(COUNTA(A149:B149,D149:G149,I149,K149,M149,Q149,AB149:AD149)=0,0,IF(OR(S149&lt;&gt;"",T149&gt;0),1,IF(ISNUMBER(J149),IF(OR(J149&lt;0,AND(J149&gt;0,M149="Esgotado")),1,0),0)))</x:f>
        <x:v>0</x:v>
      </x:c>
      <x:c r="V149" s="163" t="str">
        <x:f>IF(A149="","",IF(OR(U149&gt;0,Listas!$B$13&lt;&gt;"OK"),"n.a.",IF(AND(J149&gt;0,M149="Liberado",G149&gt;=Listas!$B$6),J149,0)))</x:f>
      </x:c>
      <x:c r="W149" s="163" t="str">
        <x:f>IF(A149="","",IF(OR(U149&gt;0,Listas!$B$13&lt;&gt;"OK"),"n.a.",V149*K149))</x:f>
      </x:c>
      <x:c r="X149" s="167" t="n">
        <x:f>IF(COUNTA(A149:B149,D149:G149,I149,K149,M149,Q149,AB149:AD149)=0,0,IF(OR(Listas!$B$19="Todos",B149=Listas!$B$19,COUNTIFS(Produtos!$A$5:$A$204,B149)&lt;&gt;1),1,0))</x:f>
        <x:v>0</x:v>
      </x:c>
      <x:c r="Y149" s="167" t="str">
        <x:f>IF(X149=0,"",IF(Listas!$B$13&lt;&gt;"OK","Revisar parâmetros",IF(U149&gt;0,IF(S149&lt;&gt;"",S149,IF(T149&gt;0,"Revisar movimentos",IF(AND(ISNUMBER(J149),J149&lt;0),"Saldo negativo","Status esgotado com saldo"))),IF(AG149&lt;&gt;"",AG149&amp;". ","")&amp;IF(J149&lt;=0,"",IF(N149="VENCIDO","Validade vencida. ","")&amp;IF(M149="Quarentena","Em quarentena. ","")&amp;IF(M149="Bloqueado","Lote bloqueado. ","")&amp;IF(N149="CRÍTICO","Validade crítica. ","")&amp;IF(N149="VENCE NA JANELA","Vence na janela. ","")))))</x:f>
      </x:c>
      <x:c r="Z149" s="167" t="n">
        <x:f>IF(OR(X149=0,Y149=""),0,IF(OR(Listas!$B$13&lt;&gt;"OK",U149&gt;0,AH149&gt;0),1,IF(N149="VENCIDO",2,IF(OR(M149="Quarentena",M149="Bloqueado"),3,IF(N149="CRÍTICO",4,5)))))</x:f>
        <x:v>0</x:v>
      </x:c>
      <x:c r="AA149" s="167" t="n">
        <x:f>IF(Z149=0,0,COUNTIFS($Z$5:$Z$204,"&gt;0",$Z$5:$Z$204,"&lt;"&amp;Z149,$X$5:$X$204,1)+COUNTIFS($Z$5:Z149,Z149,$X$5:X149,1))</x:f>
        <x:v>0</x:v>
      </x:c>
      <x:c r="AB149" s="168"/>
      <x:c r="AC149" s="168"/>
      <x:c r="AD149" s="169"/>
      <x:c r="AE149" s="167" t="str">
        <x:f>IF(X149=0,"",IF(OR(U149&gt;0,Listas!$B$13&lt;&gt;"OK"),"Dados pendentes",IF(J149&lt;=0,"Sem saldo",IF(N149="VENCIDO","Vencidos",IF(OR(M149="Quarentena",M149="Bloqueado"),"Restritos vigentes",IF(OR(N149="CRÍTICO",N149="VENCE NA JANELA"),"Liberados na janela","Demais liberados"))))))</x:f>
      </x:c>
      <x:c r="AF149" s="167" t="str">
        <x:f>IF(A149&lt;&gt;"",A149,IF(U149&gt;0,"Sem ID (linha "&amp;ROW()&amp;")",""))</x:f>
      </x:c>
      <x:c r="AG149" s="167" t="str">
        <x:f>IF(AD149="","",IF(OR(NOT(ISNUMBER(AD149)),AD149&lt;=0),"Prazo da ação inválido",""))</x:f>
      </x:c>
      <x:c r="AH149" s="167" t="n">
        <x:f>IF(AG149="",0,1)</x:f>
        <x:v>0</x:v>
      </x:c>
    </x:row>
    <x:row r="150" ht="32" customHeight="1">
      <x:c r="A150" s="27"/>
      <x:c r="B150" s="27"/>
      <x:c r="C150" s="40" t="str">
        <x:f>IF($B150="","",IFERROR(INDEX(Produtos!$B$5:$B$204,MATCH($B150,Produtos!$A$5:$A$204,0)),""))</x:f>
      </x:c>
      <x:c r="D150" s="170"/>
      <x:c r="E150" s="179"/>
      <x:c r="F150" s="179"/>
      <x:c r="G150" s="179"/>
      <x:c r="H150" s="40" t="str">
        <x:f>IF(A150="","",IF(OR(S150&lt;&gt;"",Listas!$B$13&lt;&gt;"OK"),"n.a.",G150-Listas!$B$6))</x:f>
      </x:c>
      <x:c r="I150" s="40"/>
      <x:c r="J150" s="40" t="str">
        <x:f>IF(A150="","",IF(OR(S150&lt;&gt;"",T150&gt;0,Listas!$B$13&lt;&gt;"OK"),"n.a.",SUMIFS(Movimentacoes!$H$5:$H$304,Movimentacoes!$D$5:$D$304,A150,Movimentacoes!$B$5:$B$304,"&lt;="&amp;Listas!$B$6)))</x:f>
      </x:c>
      <x:c r="K150" s="180"/>
      <x:c r="L150" s="181" t="str">
        <x:f>IF(A150="","",IF(OR(U150&gt;0,Listas!$B$13&lt;&gt;"OK"),"n.a.",J150*K150))</x:f>
      </x:c>
      <x:c r="M150" s="27"/>
      <x:c r="N150" s="40" t="str">
        <x:f>IF(A150="","",IF(OR(U150&gt;0,Listas!$B$13&lt;&gt;"OK"),"REVISAR DADOS",IF(J150=0,"SEM SALDO",IF(G150&lt;Listas!$B$6,"VENCIDO",IF(H150&lt;=Listas!$B$7,"CRÍTICO",IF(H150&lt;=Listas!$B$8,"VENCE NA JANELA","OK"))))))</x:f>
      </x:c>
      <x:c r="O150" s="41" t="str">
        <x:f>IF(A150="","",IF(AND(ISNUMBER(V150),V150&gt;0),G150,""))</x:f>
      </x:c>
      <x:c r="P150" s="40" t="str">
        <x:f>IF(A150="","",IF(OR(U150&gt;0,Listas!$B$13&lt;&gt;"OK"),"REVISAR DADOS",IF(J150=0,"ARQUIVAR LOTE",IF(M150="Quarentena","DECIDIR LIBERAÇÃO",IF(M150="Bloqueado","SEGREGAR E INVESTIGAR",IF(M150="Esgotado","REVISAR STATUS COM SALDO",IF(N150="VENCIDO","SEGREGAR E AVALIAR DESTINAÇÃO",IF(OR(N150="CRÍTICO",N150="VENCE NA JANELA"),"PRIORIZAR FEFO","MANTER ROTAÇÃO"))))))))</x:f>
      </x:c>
      <x:c r="Q150" s="27"/>
      <x:c r="R150" s="181" t="str">
        <x:f>IF(A150="","",IF(OR(U150&gt;0,Listas!$B$13&lt;&gt;"OK"),"n.a.",IF(OR(N150="VENCIDO",N150="CRÍTICO",N150="VENCE NA JANELA",M150="Quarentena",M150="Bloqueado"),L150,0)))</x:f>
      </x:c>
      <x:c r="S150" s="163" t="str">
        <x:f>IF(COUNTA(A150:B150,D150:G150,I150,K150,M150,Q150,AB150:AD150)=0,"",IF(OR(A150="",COUNTIFS($A$5:$A$204,A150)&lt;&gt;1),"Lote ausente ou duplicado",IF(OR(B150="",COUNTIFS(Produtos!$A$5:$A$204,B150)&lt;&gt;1),"SKU ausente ou desconhecido",IF(COUNTIFS(Produtos!$A$5:$A$204,B150,Produtos!$R$5:$R$204,1)&gt;0,"Revisar cadastro do produto",IF(OR(NOT(ISNUMBER(E150)),E150&lt;=0,NOT(ISNUMBER(G150)),G150&lt;=0,G150&lt;E150),"Recebimento ou validade inválida",IF(AND(F150&lt;&gt;"",OR(NOT(ISNUMBER(F150)),F150&lt;=0,F150&gt;E150)),"Fabricação inválida ou posterior ao recebimento",IF(OR(NOT(ISNUMBER(K150)),K150&lt;0,NOT(ISNUMBER(I150)),I150&lt;0),"Quantidade recebida ou custo inválido",IF(AND(M150&lt;&gt;"Liberado",M150&lt;&gt;"Quarentena",M150&lt;&gt;"Bloqueado",M150&lt;&gt;"Esgotado"),"Status de lote inválido",""))))))))</x:f>
      </x:c>
      <x:c r="T150" s="163" t="n">
        <x:f>IF(A150="",0,COUNTIFS(Movimentacoes!$D$5:$D$304,A150,Movimentacoes!$P$5:$P$304,1))</x:f>
        <x:v>0</x:v>
      </x:c>
      <x:c r="U150" s="163" t="n">
        <x:f>IF(COUNTA(A150:B150,D150:G150,I150,K150,M150,Q150,AB150:AD150)=0,0,IF(OR(S150&lt;&gt;"",T150&gt;0),1,IF(ISNUMBER(J150),IF(OR(J150&lt;0,AND(J150&gt;0,M150="Esgotado")),1,0),0)))</x:f>
        <x:v>0</x:v>
      </x:c>
      <x:c r="V150" s="163" t="str">
        <x:f>IF(A150="","",IF(OR(U150&gt;0,Listas!$B$13&lt;&gt;"OK"),"n.a.",IF(AND(J150&gt;0,M150="Liberado",G150&gt;=Listas!$B$6),J150,0)))</x:f>
      </x:c>
      <x:c r="W150" s="163" t="str">
        <x:f>IF(A150="","",IF(OR(U150&gt;0,Listas!$B$13&lt;&gt;"OK"),"n.a.",V150*K150))</x:f>
      </x:c>
      <x:c r="X150" s="167" t="n">
        <x:f>IF(COUNTA(A150:B150,D150:G150,I150,K150,M150,Q150,AB150:AD150)=0,0,IF(OR(Listas!$B$19="Todos",B150=Listas!$B$19,COUNTIFS(Produtos!$A$5:$A$204,B150)&lt;&gt;1),1,0))</x:f>
        <x:v>0</x:v>
      </x:c>
      <x:c r="Y150" s="167" t="str">
        <x:f>IF(X150=0,"",IF(Listas!$B$13&lt;&gt;"OK","Revisar parâmetros",IF(U150&gt;0,IF(S150&lt;&gt;"",S150,IF(T150&gt;0,"Revisar movimentos",IF(AND(ISNUMBER(J150),J150&lt;0),"Saldo negativo","Status esgotado com saldo"))),IF(AG150&lt;&gt;"",AG150&amp;". ","")&amp;IF(J150&lt;=0,"",IF(N150="VENCIDO","Validade vencida. ","")&amp;IF(M150="Quarentena","Em quarentena. ","")&amp;IF(M150="Bloqueado","Lote bloqueado. ","")&amp;IF(N150="CRÍTICO","Validade crítica. ","")&amp;IF(N150="VENCE NA JANELA","Vence na janela. ","")))))</x:f>
      </x:c>
      <x:c r="Z150" s="167" t="n">
        <x:f>IF(OR(X150=0,Y150=""),0,IF(OR(Listas!$B$13&lt;&gt;"OK",U150&gt;0,AH150&gt;0),1,IF(N150="VENCIDO",2,IF(OR(M150="Quarentena",M150="Bloqueado"),3,IF(N150="CRÍTICO",4,5)))))</x:f>
        <x:v>0</x:v>
      </x:c>
      <x:c r="AA150" s="167" t="n">
        <x:f>IF(Z150=0,0,COUNTIFS($Z$5:$Z$204,"&gt;0",$Z$5:$Z$204,"&lt;"&amp;Z150,$X$5:$X$204,1)+COUNTIFS($Z$5:Z150,Z150,$X$5:X150,1))</x:f>
        <x:v>0</x:v>
      </x:c>
      <x:c r="AB150" s="168"/>
      <x:c r="AC150" s="168"/>
      <x:c r="AD150" s="169"/>
      <x:c r="AE150" s="167" t="str">
        <x:f>IF(X150=0,"",IF(OR(U150&gt;0,Listas!$B$13&lt;&gt;"OK"),"Dados pendentes",IF(J150&lt;=0,"Sem saldo",IF(N150="VENCIDO","Vencidos",IF(OR(M150="Quarentena",M150="Bloqueado"),"Restritos vigentes",IF(OR(N150="CRÍTICO",N150="VENCE NA JANELA"),"Liberados na janela","Demais liberados"))))))</x:f>
      </x:c>
      <x:c r="AF150" s="167" t="str">
        <x:f>IF(A150&lt;&gt;"",A150,IF(U150&gt;0,"Sem ID (linha "&amp;ROW()&amp;")",""))</x:f>
      </x:c>
      <x:c r="AG150" s="167" t="str">
        <x:f>IF(AD150="","",IF(OR(NOT(ISNUMBER(AD150)),AD150&lt;=0),"Prazo da ação inválido",""))</x:f>
      </x:c>
      <x:c r="AH150" s="167" t="n">
        <x:f>IF(AG150="",0,1)</x:f>
        <x:v>0</x:v>
      </x:c>
    </x:row>
    <x:row r="151" ht="32" customHeight="1">
      <x:c r="A151" s="27"/>
      <x:c r="B151" s="27"/>
      <x:c r="C151" s="40" t="str">
        <x:f>IF($B151="","",IFERROR(INDEX(Produtos!$B$5:$B$204,MATCH($B151,Produtos!$A$5:$A$204,0)),""))</x:f>
      </x:c>
      <x:c r="D151" s="170"/>
      <x:c r="E151" s="179"/>
      <x:c r="F151" s="179"/>
      <x:c r="G151" s="179"/>
      <x:c r="H151" s="40" t="str">
        <x:f>IF(A151="","",IF(OR(S151&lt;&gt;"",Listas!$B$13&lt;&gt;"OK"),"n.a.",G151-Listas!$B$6))</x:f>
      </x:c>
      <x:c r="I151" s="40"/>
      <x:c r="J151" s="40" t="str">
        <x:f>IF(A151="","",IF(OR(S151&lt;&gt;"",T151&gt;0,Listas!$B$13&lt;&gt;"OK"),"n.a.",SUMIFS(Movimentacoes!$H$5:$H$304,Movimentacoes!$D$5:$D$304,A151,Movimentacoes!$B$5:$B$304,"&lt;="&amp;Listas!$B$6)))</x:f>
      </x:c>
      <x:c r="K151" s="180"/>
      <x:c r="L151" s="181" t="str">
        <x:f>IF(A151="","",IF(OR(U151&gt;0,Listas!$B$13&lt;&gt;"OK"),"n.a.",J151*K151))</x:f>
      </x:c>
      <x:c r="M151" s="27"/>
      <x:c r="N151" s="40" t="str">
        <x:f>IF(A151="","",IF(OR(U151&gt;0,Listas!$B$13&lt;&gt;"OK"),"REVISAR DADOS",IF(J151=0,"SEM SALDO",IF(G151&lt;Listas!$B$6,"VENCIDO",IF(H151&lt;=Listas!$B$7,"CRÍTICO",IF(H151&lt;=Listas!$B$8,"VENCE NA JANELA","OK"))))))</x:f>
      </x:c>
      <x:c r="O151" s="41" t="str">
        <x:f>IF(A151="","",IF(AND(ISNUMBER(V151),V151&gt;0),G151,""))</x:f>
      </x:c>
      <x:c r="P151" s="40" t="str">
        <x:f>IF(A151="","",IF(OR(U151&gt;0,Listas!$B$13&lt;&gt;"OK"),"REVISAR DADOS",IF(J151=0,"ARQUIVAR LOTE",IF(M151="Quarentena","DECIDIR LIBERAÇÃO",IF(M151="Bloqueado","SEGREGAR E INVESTIGAR",IF(M151="Esgotado","REVISAR STATUS COM SALDO",IF(N151="VENCIDO","SEGREGAR E AVALIAR DESTINAÇÃO",IF(OR(N151="CRÍTICO",N151="VENCE NA JANELA"),"PRIORIZAR FEFO","MANTER ROTAÇÃO"))))))))</x:f>
      </x:c>
      <x:c r="Q151" s="27"/>
      <x:c r="R151" s="181" t="str">
        <x:f>IF(A151="","",IF(OR(U151&gt;0,Listas!$B$13&lt;&gt;"OK"),"n.a.",IF(OR(N151="VENCIDO",N151="CRÍTICO",N151="VENCE NA JANELA",M151="Quarentena",M151="Bloqueado"),L151,0)))</x:f>
      </x:c>
      <x:c r="S151" s="163" t="str">
        <x:f>IF(COUNTA(A151:B151,D151:G151,I151,K151,M151,Q151,AB151:AD151)=0,"",IF(OR(A151="",COUNTIFS($A$5:$A$204,A151)&lt;&gt;1),"Lote ausente ou duplicado",IF(OR(B151="",COUNTIFS(Produtos!$A$5:$A$204,B151)&lt;&gt;1),"SKU ausente ou desconhecido",IF(COUNTIFS(Produtos!$A$5:$A$204,B151,Produtos!$R$5:$R$204,1)&gt;0,"Revisar cadastro do produto",IF(OR(NOT(ISNUMBER(E151)),E151&lt;=0,NOT(ISNUMBER(G151)),G151&lt;=0,G151&lt;E151),"Recebimento ou validade inválida",IF(AND(F151&lt;&gt;"",OR(NOT(ISNUMBER(F151)),F151&lt;=0,F151&gt;E151)),"Fabricação inválida ou posterior ao recebimento",IF(OR(NOT(ISNUMBER(K151)),K151&lt;0,NOT(ISNUMBER(I151)),I151&lt;0),"Quantidade recebida ou custo inválido",IF(AND(M151&lt;&gt;"Liberado",M151&lt;&gt;"Quarentena",M151&lt;&gt;"Bloqueado",M151&lt;&gt;"Esgotado"),"Status de lote inválido",""))))))))</x:f>
      </x:c>
      <x:c r="T151" s="163" t="n">
        <x:f>IF(A151="",0,COUNTIFS(Movimentacoes!$D$5:$D$304,A151,Movimentacoes!$P$5:$P$304,1))</x:f>
        <x:v>0</x:v>
      </x:c>
      <x:c r="U151" s="163" t="n">
        <x:f>IF(COUNTA(A151:B151,D151:G151,I151,K151,M151,Q151,AB151:AD151)=0,0,IF(OR(S151&lt;&gt;"",T151&gt;0),1,IF(ISNUMBER(J151),IF(OR(J151&lt;0,AND(J151&gt;0,M151="Esgotado")),1,0),0)))</x:f>
        <x:v>0</x:v>
      </x:c>
      <x:c r="V151" s="163" t="str">
        <x:f>IF(A151="","",IF(OR(U151&gt;0,Listas!$B$13&lt;&gt;"OK"),"n.a.",IF(AND(J151&gt;0,M151="Liberado",G151&gt;=Listas!$B$6),J151,0)))</x:f>
      </x:c>
      <x:c r="W151" s="163" t="str">
        <x:f>IF(A151="","",IF(OR(U151&gt;0,Listas!$B$13&lt;&gt;"OK"),"n.a.",V151*K151))</x:f>
      </x:c>
      <x:c r="X151" s="167" t="n">
        <x:f>IF(COUNTA(A151:B151,D151:G151,I151,K151,M151,Q151,AB151:AD151)=0,0,IF(OR(Listas!$B$19="Todos",B151=Listas!$B$19,COUNTIFS(Produtos!$A$5:$A$204,B151)&lt;&gt;1),1,0))</x:f>
        <x:v>0</x:v>
      </x:c>
      <x:c r="Y151" s="167" t="str">
        <x:f>IF(X151=0,"",IF(Listas!$B$13&lt;&gt;"OK","Revisar parâmetros",IF(U151&gt;0,IF(S151&lt;&gt;"",S151,IF(T151&gt;0,"Revisar movimentos",IF(AND(ISNUMBER(J151),J151&lt;0),"Saldo negativo","Status esgotado com saldo"))),IF(AG151&lt;&gt;"",AG151&amp;". ","")&amp;IF(J151&lt;=0,"",IF(N151="VENCIDO","Validade vencida. ","")&amp;IF(M151="Quarentena","Em quarentena. ","")&amp;IF(M151="Bloqueado","Lote bloqueado. ","")&amp;IF(N151="CRÍTICO","Validade crítica. ","")&amp;IF(N151="VENCE NA JANELA","Vence na janela. ","")))))</x:f>
      </x:c>
      <x:c r="Z151" s="167" t="n">
        <x:f>IF(OR(X151=0,Y151=""),0,IF(OR(Listas!$B$13&lt;&gt;"OK",U151&gt;0,AH151&gt;0),1,IF(N151="VENCIDO",2,IF(OR(M151="Quarentena",M151="Bloqueado"),3,IF(N151="CRÍTICO",4,5)))))</x:f>
        <x:v>0</x:v>
      </x:c>
      <x:c r="AA151" s="167" t="n">
        <x:f>IF(Z151=0,0,COUNTIFS($Z$5:$Z$204,"&gt;0",$Z$5:$Z$204,"&lt;"&amp;Z151,$X$5:$X$204,1)+COUNTIFS($Z$5:Z151,Z151,$X$5:X151,1))</x:f>
        <x:v>0</x:v>
      </x:c>
      <x:c r="AB151" s="168"/>
      <x:c r="AC151" s="168"/>
      <x:c r="AD151" s="169"/>
      <x:c r="AE151" s="167" t="str">
        <x:f>IF(X151=0,"",IF(OR(U151&gt;0,Listas!$B$13&lt;&gt;"OK"),"Dados pendentes",IF(J151&lt;=0,"Sem saldo",IF(N151="VENCIDO","Vencidos",IF(OR(M151="Quarentena",M151="Bloqueado"),"Restritos vigentes",IF(OR(N151="CRÍTICO",N151="VENCE NA JANELA"),"Liberados na janela","Demais liberados"))))))</x:f>
      </x:c>
      <x:c r="AF151" s="167" t="str">
        <x:f>IF(A151&lt;&gt;"",A151,IF(U151&gt;0,"Sem ID (linha "&amp;ROW()&amp;")",""))</x:f>
      </x:c>
      <x:c r="AG151" s="167" t="str">
        <x:f>IF(AD151="","",IF(OR(NOT(ISNUMBER(AD151)),AD151&lt;=0),"Prazo da ação inválido",""))</x:f>
      </x:c>
      <x:c r="AH151" s="167" t="n">
        <x:f>IF(AG151="",0,1)</x:f>
        <x:v>0</x:v>
      </x:c>
    </x:row>
    <x:row r="152" ht="32" customHeight="1">
      <x:c r="A152" s="27"/>
      <x:c r="B152" s="27"/>
      <x:c r="C152" s="40" t="str">
        <x:f>IF($B152="","",IFERROR(INDEX(Produtos!$B$5:$B$204,MATCH($B152,Produtos!$A$5:$A$204,0)),""))</x:f>
      </x:c>
      <x:c r="D152" s="170"/>
      <x:c r="E152" s="179"/>
      <x:c r="F152" s="179"/>
      <x:c r="G152" s="179"/>
      <x:c r="H152" s="40" t="str">
        <x:f>IF(A152="","",IF(OR(S152&lt;&gt;"",Listas!$B$13&lt;&gt;"OK"),"n.a.",G152-Listas!$B$6))</x:f>
      </x:c>
      <x:c r="I152" s="40"/>
      <x:c r="J152" s="40" t="str">
        <x:f>IF(A152="","",IF(OR(S152&lt;&gt;"",T152&gt;0,Listas!$B$13&lt;&gt;"OK"),"n.a.",SUMIFS(Movimentacoes!$H$5:$H$304,Movimentacoes!$D$5:$D$304,A152,Movimentacoes!$B$5:$B$304,"&lt;="&amp;Listas!$B$6)))</x:f>
      </x:c>
      <x:c r="K152" s="180"/>
      <x:c r="L152" s="181" t="str">
        <x:f>IF(A152="","",IF(OR(U152&gt;0,Listas!$B$13&lt;&gt;"OK"),"n.a.",J152*K152))</x:f>
      </x:c>
      <x:c r="M152" s="27"/>
      <x:c r="N152" s="40" t="str">
        <x:f>IF(A152="","",IF(OR(U152&gt;0,Listas!$B$13&lt;&gt;"OK"),"REVISAR DADOS",IF(J152=0,"SEM SALDO",IF(G152&lt;Listas!$B$6,"VENCIDO",IF(H152&lt;=Listas!$B$7,"CRÍTICO",IF(H152&lt;=Listas!$B$8,"VENCE NA JANELA","OK"))))))</x:f>
      </x:c>
      <x:c r="O152" s="41" t="str">
        <x:f>IF(A152="","",IF(AND(ISNUMBER(V152),V152&gt;0),G152,""))</x:f>
      </x:c>
      <x:c r="P152" s="40" t="str">
        <x:f>IF(A152="","",IF(OR(U152&gt;0,Listas!$B$13&lt;&gt;"OK"),"REVISAR DADOS",IF(J152=0,"ARQUIVAR LOTE",IF(M152="Quarentena","DECIDIR LIBERAÇÃO",IF(M152="Bloqueado","SEGREGAR E INVESTIGAR",IF(M152="Esgotado","REVISAR STATUS COM SALDO",IF(N152="VENCIDO","SEGREGAR E AVALIAR DESTINAÇÃO",IF(OR(N152="CRÍTICO",N152="VENCE NA JANELA"),"PRIORIZAR FEFO","MANTER ROTAÇÃO"))))))))</x:f>
      </x:c>
      <x:c r="Q152" s="27"/>
      <x:c r="R152" s="181" t="str">
        <x:f>IF(A152="","",IF(OR(U152&gt;0,Listas!$B$13&lt;&gt;"OK"),"n.a.",IF(OR(N152="VENCIDO",N152="CRÍTICO",N152="VENCE NA JANELA",M152="Quarentena",M152="Bloqueado"),L152,0)))</x:f>
      </x:c>
      <x:c r="S152" s="163" t="str">
        <x:f>IF(COUNTA(A152:B152,D152:G152,I152,K152,M152,Q152,AB152:AD152)=0,"",IF(OR(A152="",COUNTIFS($A$5:$A$204,A152)&lt;&gt;1),"Lote ausente ou duplicado",IF(OR(B152="",COUNTIFS(Produtos!$A$5:$A$204,B152)&lt;&gt;1),"SKU ausente ou desconhecido",IF(COUNTIFS(Produtos!$A$5:$A$204,B152,Produtos!$R$5:$R$204,1)&gt;0,"Revisar cadastro do produto",IF(OR(NOT(ISNUMBER(E152)),E152&lt;=0,NOT(ISNUMBER(G152)),G152&lt;=0,G152&lt;E152),"Recebimento ou validade inválida",IF(AND(F152&lt;&gt;"",OR(NOT(ISNUMBER(F152)),F152&lt;=0,F152&gt;E152)),"Fabricação inválida ou posterior ao recebimento",IF(OR(NOT(ISNUMBER(K152)),K152&lt;0,NOT(ISNUMBER(I152)),I152&lt;0),"Quantidade recebida ou custo inválido",IF(AND(M152&lt;&gt;"Liberado",M152&lt;&gt;"Quarentena",M152&lt;&gt;"Bloqueado",M152&lt;&gt;"Esgotado"),"Status de lote inválido",""))))))))</x:f>
      </x:c>
      <x:c r="T152" s="163" t="n">
        <x:f>IF(A152="",0,COUNTIFS(Movimentacoes!$D$5:$D$304,A152,Movimentacoes!$P$5:$P$304,1))</x:f>
        <x:v>0</x:v>
      </x:c>
      <x:c r="U152" s="163" t="n">
        <x:f>IF(COUNTA(A152:B152,D152:G152,I152,K152,M152,Q152,AB152:AD152)=0,0,IF(OR(S152&lt;&gt;"",T152&gt;0),1,IF(ISNUMBER(J152),IF(OR(J152&lt;0,AND(J152&gt;0,M152="Esgotado")),1,0),0)))</x:f>
        <x:v>0</x:v>
      </x:c>
      <x:c r="V152" s="163" t="str">
        <x:f>IF(A152="","",IF(OR(U152&gt;0,Listas!$B$13&lt;&gt;"OK"),"n.a.",IF(AND(J152&gt;0,M152="Liberado",G152&gt;=Listas!$B$6),J152,0)))</x:f>
      </x:c>
      <x:c r="W152" s="163" t="str">
        <x:f>IF(A152="","",IF(OR(U152&gt;0,Listas!$B$13&lt;&gt;"OK"),"n.a.",V152*K152))</x:f>
      </x:c>
      <x:c r="X152" s="167" t="n">
        <x:f>IF(COUNTA(A152:B152,D152:G152,I152,K152,M152,Q152,AB152:AD152)=0,0,IF(OR(Listas!$B$19="Todos",B152=Listas!$B$19,COUNTIFS(Produtos!$A$5:$A$204,B152)&lt;&gt;1),1,0))</x:f>
        <x:v>0</x:v>
      </x:c>
      <x:c r="Y152" s="167" t="str">
        <x:f>IF(X152=0,"",IF(Listas!$B$13&lt;&gt;"OK","Revisar parâmetros",IF(U152&gt;0,IF(S152&lt;&gt;"",S152,IF(T152&gt;0,"Revisar movimentos",IF(AND(ISNUMBER(J152),J152&lt;0),"Saldo negativo","Status esgotado com saldo"))),IF(AG152&lt;&gt;"",AG152&amp;". ","")&amp;IF(J152&lt;=0,"",IF(N152="VENCIDO","Validade vencida. ","")&amp;IF(M152="Quarentena","Em quarentena. ","")&amp;IF(M152="Bloqueado","Lote bloqueado. ","")&amp;IF(N152="CRÍTICO","Validade crítica. ","")&amp;IF(N152="VENCE NA JANELA","Vence na janela. ","")))))</x:f>
      </x:c>
      <x:c r="Z152" s="167" t="n">
        <x:f>IF(OR(X152=0,Y152=""),0,IF(OR(Listas!$B$13&lt;&gt;"OK",U152&gt;0,AH152&gt;0),1,IF(N152="VENCIDO",2,IF(OR(M152="Quarentena",M152="Bloqueado"),3,IF(N152="CRÍTICO",4,5)))))</x:f>
        <x:v>0</x:v>
      </x:c>
      <x:c r="AA152" s="167" t="n">
        <x:f>IF(Z152=0,0,COUNTIFS($Z$5:$Z$204,"&gt;0",$Z$5:$Z$204,"&lt;"&amp;Z152,$X$5:$X$204,1)+COUNTIFS($Z$5:Z152,Z152,$X$5:X152,1))</x:f>
        <x:v>0</x:v>
      </x:c>
      <x:c r="AB152" s="168"/>
      <x:c r="AC152" s="168"/>
      <x:c r="AD152" s="169"/>
      <x:c r="AE152" s="167" t="str">
        <x:f>IF(X152=0,"",IF(OR(U152&gt;0,Listas!$B$13&lt;&gt;"OK"),"Dados pendentes",IF(J152&lt;=0,"Sem saldo",IF(N152="VENCIDO","Vencidos",IF(OR(M152="Quarentena",M152="Bloqueado"),"Restritos vigentes",IF(OR(N152="CRÍTICO",N152="VENCE NA JANELA"),"Liberados na janela","Demais liberados"))))))</x:f>
      </x:c>
      <x:c r="AF152" s="167" t="str">
        <x:f>IF(A152&lt;&gt;"",A152,IF(U152&gt;0,"Sem ID (linha "&amp;ROW()&amp;")",""))</x:f>
      </x:c>
      <x:c r="AG152" s="167" t="str">
        <x:f>IF(AD152="","",IF(OR(NOT(ISNUMBER(AD152)),AD152&lt;=0),"Prazo da ação inválido",""))</x:f>
      </x:c>
      <x:c r="AH152" s="167" t="n">
        <x:f>IF(AG152="",0,1)</x:f>
        <x:v>0</x:v>
      </x:c>
    </x:row>
    <x:row r="153" ht="32" customHeight="1">
      <x:c r="A153" s="27"/>
      <x:c r="B153" s="27"/>
      <x:c r="C153" s="40" t="str">
        <x:f>IF($B153="","",IFERROR(INDEX(Produtos!$B$5:$B$204,MATCH($B153,Produtos!$A$5:$A$204,0)),""))</x:f>
      </x:c>
      <x:c r="D153" s="170"/>
      <x:c r="E153" s="179"/>
      <x:c r="F153" s="179"/>
      <x:c r="G153" s="179"/>
      <x:c r="H153" s="40" t="str">
        <x:f>IF(A153="","",IF(OR(S153&lt;&gt;"",Listas!$B$13&lt;&gt;"OK"),"n.a.",G153-Listas!$B$6))</x:f>
      </x:c>
      <x:c r="I153" s="40"/>
      <x:c r="J153" s="40" t="str">
        <x:f>IF(A153="","",IF(OR(S153&lt;&gt;"",T153&gt;0,Listas!$B$13&lt;&gt;"OK"),"n.a.",SUMIFS(Movimentacoes!$H$5:$H$304,Movimentacoes!$D$5:$D$304,A153,Movimentacoes!$B$5:$B$304,"&lt;="&amp;Listas!$B$6)))</x:f>
      </x:c>
      <x:c r="K153" s="180"/>
      <x:c r="L153" s="181" t="str">
        <x:f>IF(A153="","",IF(OR(U153&gt;0,Listas!$B$13&lt;&gt;"OK"),"n.a.",J153*K153))</x:f>
      </x:c>
      <x:c r="M153" s="27"/>
      <x:c r="N153" s="40" t="str">
        <x:f>IF(A153="","",IF(OR(U153&gt;0,Listas!$B$13&lt;&gt;"OK"),"REVISAR DADOS",IF(J153=0,"SEM SALDO",IF(G153&lt;Listas!$B$6,"VENCIDO",IF(H153&lt;=Listas!$B$7,"CRÍTICO",IF(H153&lt;=Listas!$B$8,"VENCE NA JANELA","OK"))))))</x:f>
      </x:c>
      <x:c r="O153" s="41" t="str">
        <x:f>IF(A153="","",IF(AND(ISNUMBER(V153),V153&gt;0),G153,""))</x:f>
      </x:c>
      <x:c r="P153" s="40" t="str">
        <x:f>IF(A153="","",IF(OR(U153&gt;0,Listas!$B$13&lt;&gt;"OK"),"REVISAR DADOS",IF(J153=0,"ARQUIVAR LOTE",IF(M153="Quarentena","DECIDIR LIBERAÇÃO",IF(M153="Bloqueado","SEGREGAR E INVESTIGAR",IF(M153="Esgotado","REVISAR STATUS COM SALDO",IF(N153="VENCIDO","SEGREGAR E AVALIAR DESTINAÇÃO",IF(OR(N153="CRÍTICO",N153="VENCE NA JANELA"),"PRIORIZAR FEFO","MANTER ROTAÇÃO"))))))))</x:f>
      </x:c>
      <x:c r="Q153" s="27"/>
      <x:c r="R153" s="181" t="str">
        <x:f>IF(A153="","",IF(OR(U153&gt;0,Listas!$B$13&lt;&gt;"OK"),"n.a.",IF(OR(N153="VENCIDO",N153="CRÍTICO",N153="VENCE NA JANELA",M153="Quarentena",M153="Bloqueado"),L153,0)))</x:f>
      </x:c>
      <x:c r="S153" s="163" t="str">
        <x:f>IF(COUNTA(A153:B153,D153:G153,I153,K153,M153,Q153,AB153:AD153)=0,"",IF(OR(A153="",COUNTIFS($A$5:$A$204,A153)&lt;&gt;1),"Lote ausente ou duplicado",IF(OR(B153="",COUNTIFS(Produtos!$A$5:$A$204,B153)&lt;&gt;1),"SKU ausente ou desconhecido",IF(COUNTIFS(Produtos!$A$5:$A$204,B153,Produtos!$R$5:$R$204,1)&gt;0,"Revisar cadastro do produto",IF(OR(NOT(ISNUMBER(E153)),E153&lt;=0,NOT(ISNUMBER(G153)),G153&lt;=0,G153&lt;E153),"Recebimento ou validade inválida",IF(AND(F153&lt;&gt;"",OR(NOT(ISNUMBER(F153)),F153&lt;=0,F153&gt;E153)),"Fabricação inválida ou posterior ao recebimento",IF(OR(NOT(ISNUMBER(K153)),K153&lt;0,NOT(ISNUMBER(I153)),I153&lt;0),"Quantidade recebida ou custo inválido",IF(AND(M153&lt;&gt;"Liberado",M153&lt;&gt;"Quarentena",M153&lt;&gt;"Bloqueado",M153&lt;&gt;"Esgotado"),"Status de lote inválido",""))))))))</x:f>
      </x:c>
      <x:c r="T153" s="163" t="n">
        <x:f>IF(A153="",0,COUNTIFS(Movimentacoes!$D$5:$D$304,A153,Movimentacoes!$P$5:$P$304,1))</x:f>
        <x:v>0</x:v>
      </x:c>
      <x:c r="U153" s="163" t="n">
        <x:f>IF(COUNTA(A153:B153,D153:G153,I153,K153,M153,Q153,AB153:AD153)=0,0,IF(OR(S153&lt;&gt;"",T153&gt;0),1,IF(ISNUMBER(J153),IF(OR(J153&lt;0,AND(J153&gt;0,M153="Esgotado")),1,0),0)))</x:f>
        <x:v>0</x:v>
      </x:c>
      <x:c r="V153" s="163" t="str">
        <x:f>IF(A153="","",IF(OR(U153&gt;0,Listas!$B$13&lt;&gt;"OK"),"n.a.",IF(AND(J153&gt;0,M153="Liberado",G153&gt;=Listas!$B$6),J153,0)))</x:f>
      </x:c>
      <x:c r="W153" s="163" t="str">
        <x:f>IF(A153="","",IF(OR(U153&gt;0,Listas!$B$13&lt;&gt;"OK"),"n.a.",V153*K153))</x:f>
      </x:c>
      <x:c r="X153" s="167" t="n">
        <x:f>IF(COUNTA(A153:B153,D153:G153,I153,K153,M153,Q153,AB153:AD153)=0,0,IF(OR(Listas!$B$19="Todos",B153=Listas!$B$19,COUNTIFS(Produtos!$A$5:$A$204,B153)&lt;&gt;1),1,0))</x:f>
        <x:v>0</x:v>
      </x:c>
      <x:c r="Y153" s="167" t="str">
        <x:f>IF(X153=0,"",IF(Listas!$B$13&lt;&gt;"OK","Revisar parâmetros",IF(U153&gt;0,IF(S153&lt;&gt;"",S153,IF(T153&gt;0,"Revisar movimentos",IF(AND(ISNUMBER(J153),J153&lt;0),"Saldo negativo","Status esgotado com saldo"))),IF(AG153&lt;&gt;"",AG153&amp;". ","")&amp;IF(J153&lt;=0,"",IF(N153="VENCIDO","Validade vencida. ","")&amp;IF(M153="Quarentena","Em quarentena. ","")&amp;IF(M153="Bloqueado","Lote bloqueado. ","")&amp;IF(N153="CRÍTICO","Validade crítica. ","")&amp;IF(N153="VENCE NA JANELA","Vence na janela. ","")))))</x:f>
      </x:c>
      <x:c r="Z153" s="167" t="n">
        <x:f>IF(OR(X153=0,Y153=""),0,IF(OR(Listas!$B$13&lt;&gt;"OK",U153&gt;0,AH153&gt;0),1,IF(N153="VENCIDO",2,IF(OR(M153="Quarentena",M153="Bloqueado"),3,IF(N153="CRÍTICO",4,5)))))</x:f>
        <x:v>0</x:v>
      </x:c>
      <x:c r="AA153" s="167" t="n">
        <x:f>IF(Z153=0,0,COUNTIFS($Z$5:$Z$204,"&gt;0",$Z$5:$Z$204,"&lt;"&amp;Z153,$X$5:$X$204,1)+COUNTIFS($Z$5:Z153,Z153,$X$5:X153,1))</x:f>
        <x:v>0</x:v>
      </x:c>
      <x:c r="AB153" s="168"/>
      <x:c r="AC153" s="168"/>
      <x:c r="AD153" s="169"/>
      <x:c r="AE153" s="167" t="str">
        <x:f>IF(X153=0,"",IF(OR(U153&gt;0,Listas!$B$13&lt;&gt;"OK"),"Dados pendentes",IF(J153&lt;=0,"Sem saldo",IF(N153="VENCIDO","Vencidos",IF(OR(M153="Quarentena",M153="Bloqueado"),"Restritos vigentes",IF(OR(N153="CRÍTICO",N153="VENCE NA JANELA"),"Liberados na janela","Demais liberados"))))))</x:f>
      </x:c>
      <x:c r="AF153" s="167" t="str">
        <x:f>IF(A153&lt;&gt;"",A153,IF(U153&gt;0,"Sem ID (linha "&amp;ROW()&amp;")",""))</x:f>
      </x:c>
      <x:c r="AG153" s="167" t="str">
        <x:f>IF(AD153="","",IF(OR(NOT(ISNUMBER(AD153)),AD153&lt;=0),"Prazo da ação inválido",""))</x:f>
      </x:c>
      <x:c r="AH153" s="167" t="n">
        <x:f>IF(AG153="",0,1)</x:f>
        <x:v>0</x:v>
      </x:c>
    </x:row>
    <x:row r="154" ht="32" customHeight="1">
      <x:c r="A154" s="27"/>
      <x:c r="B154" s="27"/>
      <x:c r="C154" s="40" t="str">
        <x:f>IF($B154="","",IFERROR(INDEX(Produtos!$B$5:$B$204,MATCH($B154,Produtos!$A$5:$A$204,0)),""))</x:f>
      </x:c>
      <x:c r="D154" s="170"/>
      <x:c r="E154" s="179"/>
      <x:c r="F154" s="179"/>
      <x:c r="G154" s="179"/>
      <x:c r="H154" s="40" t="str">
        <x:f>IF(A154="","",IF(OR(S154&lt;&gt;"",Listas!$B$13&lt;&gt;"OK"),"n.a.",G154-Listas!$B$6))</x:f>
      </x:c>
      <x:c r="I154" s="40"/>
      <x:c r="J154" s="40" t="str">
        <x:f>IF(A154="","",IF(OR(S154&lt;&gt;"",T154&gt;0,Listas!$B$13&lt;&gt;"OK"),"n.a.",SUMIFS(Movimentacoes!$H$5:$H$304,Movimentacoes!$D$5:$D$304,A154,Movimentacoes!$B$5:$B$304,"&lt;="&amp;Listas!$B$6)))</x:f>
      </x:c>
      <x:c r="K154" s="180"/>
      <x:c r="L154" s="181" t="str">
        <x:f>IF(A154="","",IF(OR(U154&gt;0,Listas!$B$13&lt;&gt;"OK"),"n.a.",J154*K154))</x:f>
      </x:c>
      <x:c r="M154" s="27"/>
      <x:c r="N154" s="40" t="str">
        <x:f>IF(A154="","",IF(OR(U154&gt;0,Listas!$B$13&lt;&gt;"OK"),"REVISAR DADOS",IF(J154=0,"SEM SALDO",IF(G154&lt;Listas!$B$6,"VENCIDO",IF(H154&lt;=Listas!$B$7,"CRÍTICO",IF(H154&lt;=Listas!$B$8,"VENCE NA JANELA","OK"))))))</x:f>
      </x:c>
      <x:c r="O154" s="41" t="str">
        <x:f>IF(A154="","",IF(AND(ISNUMBER(V154),V154&gt;0),G154,""))</x:f>
      </x:c>
      <x:c r="P154" s="40" t="str">
        <x:f>IF(A154="","",IF(OR(U154&gt;0,Listas!$B$13&lt;&gt;"OK"),"REVISAR DADOS",IF(J154=0,"ARQUIVAR LOTE",IF(M154="Quarentena","DECIDIR LIBERAÇÃO",IF(M154="Bloqueado","SEGREGAR E INVESTIGAR",IF(M154="Esgotado","REVISAR STATUS COM SALDO",IF(N154="VENCIDO","SEGREGAR E AVALIAR DESTINAÇÃO",IF(OR(N154="CRÍTICO",N154="VENCE NA JANELA"),"PRIORIZAR FEFO","MANTER ROTAÇÃO"))))))))</x:f>
      </x:c>
      <x:c r="Q154" s="27"/>
      <x:c r="R154" s="181" t="str">
        <x:f>IF(A154="","",IF(OR(U154&gt;0,Listas!$B$13&lt;&gt;"OK"),"n.a.",IF(OR(N154="VENCIDO",N154="CRÍTICO",N154="VENCE NA JANELA",M154="Quarentena",M154="Bloqueado"),L154,0)))</x:f>
      </x:c>
      <x:c r="S154" s="163" t="str">
        <x:f>IF(COUNTA(A154:B154,D154:G154,I154,K154,M154,Q154,AB154:AD154)=0,"",IF(OR(A154="",COUNTIFS($A$5:$A$204,A154)&lt;&gt;1),"Lote ausente ou duplicado",IF(OR(B154="",COUNTIFS(Produtos!$A$5:$A$204,B154)&lt;&gt;1),"SKU ausente ou desconhecido",IF(COUNTIFS(Produtos!$A$5:$A$204,B154,Produtos!$R$5:$R$204,1)&gt;0,"Revisar cadastro do produto",IF(OR(NOT(ISNUMBER(E154)),E154&lt;=0,NOT(ISNUMBER(G154)),G154&lt;=0,G154&lt;E154),"Recebimento ou validade inválida",IF(AND(F154&lt;&gt;"",OR(NOT(ISNUMBER(F154)),F154&lt;=0,F154&gt;E154)),"Fabricação inválida ou posterior ao recebimento",IF(OR(NOT(ISNUMBER(K154)),K154&lt;0,NOT(ISNUMBER(I154)),I154&lt;0),"Quantidade recebida ou custo inválido",IF(AND(M154&lt;&gt;"Liberado",M154&lt;&gt;"Quarentena",M154&lt;&gt;"Bloqueado",M154&lt;&gt;"Esgotado"),"Status de lote inválido",""))))))))</x:f>
      </x:c>
      <x:c r="T154" s="163" t="n">
        <x:f>IF(A154="",0,COUNTIFS(Movimentacoes!$D$5:$D$304,A154,Movimentacoes!$P$5:$P$304,1))</x:f>
        <x:v>0</x:v>
      </x:c>
      <x:c r="U154" s="163" t="n">
        <x:f>IF(COUNTA(A154:B154,D154:G154,I154,K154,M154,Q154,AB154:AD154)=0,0,IF(OR(S154&lt;&gt;"",T154&gt;0),1,IF(ISNUMBER(J154),IF(OR(J154&lt;0,AND(J154&gt;0,M154="Esgotado")),1,0),0)))</x:f>
        <x:v>0</x:v>
      </x:c>
      <x:c r="V154" s="163" t="str">
        <x:f>IF(A154="","",IF(OR(U154&gt;0,Listas!$B$13&lt;&gt;"OK"),"n.a.",IF(AND(J154&gt;0,M154="Liberado",G154&gt;=Listas!$B$6),J154,0)))</x:f>
      </x:c>
      <x:c r="W154" s="163" t="str">
        <x:f>IF(A154="","",IF(OR(U154&gt;0,Listas!$B$13&lt;&gt;"OK"),"n.a.",V154*K154))</x:f>
      </x:c>
      <x:c r="X154" s="167" t="n">
        <x:f>IF(COUNTA(A154:B154,D154:G154,I154,K154,M154,Q154,AB154:AD154)=0,0,IF(OR(Listas!$B$19="Todos",B154=Listas!$B$19,COUNTIFS(Produtos!$A$5:$A$204,B154)&lt;&gt;1),1,0))</x:f>
        <x:v>0</x:v>
      </x:c>
      <x:c r="Y154" s="167" t="str">
        <x:f>IF(X154=0,"",IF(Listas!$B$13&lt;&gt;"OK","Revisar parâmetros",IF(U154&gt;0,IF(S154&lt;&gt;"",S154,IF(T154&gt;0,"Revisar movimentos",IF(AND(ISNUMBER(J154),J154&lt;0),"Saldo negativo","Status esgotado com saldo"))),IF(AG154&lt;&gt;"",AG154&amp;". ","")&amp;IF(J154&lt;=0,"",IF(N154="VENCIDO","Validade vencida. ","")&amp;IF(M154="Quarentena","Em quarentena. ","")&amp;IF(M154="Bloqueado","Lote bloqueado. ","")&amp;IF(N154="CRÍTICO","Validade crítica. ","")&amp;IF(N154="VENCE NA JANELA","Vence na janela. ","")))))</x:f>
      </x:c>
      <x:c r="Z154" s="167" t="n">
        <x:f>IF(OR(X154=0,Y154=""),0,IF(OR(Listas!$B$13&lt;&gt;"OK",U154&gt;0,AH154&gt;0),1,IF(N154="VENCIDO",2,IF(OR(M154="Quarentena",M154="Bloqueado"),3,IF(N154="CRÍTICO",4,5)))))</x:f>
        <x:v>0</x:v>
      </x:c>
      <x:c r="AA154" s="167" t="n">
        <x:f>IF(Z154=0,0,COUNTIFS($Z$5:$Z$204,"&gt;0",$Z$5:$Z$204,"&lt;"&amp;Z154,$X$5:$X$204,1)+COUNTIFS($Z$5:Z154,Z154,$X$5:X154,1))</x:f>
        <x:v>0</x:v>
      </x:c>
      <x:c r="AB154" s="168"/>
      <x:c r="AC154" s="168"/>
      <x:c r="AD154" s="169"/>
      <x:c r="AE154" s="167" t="str">
        <x:f>IF(X154=0,"",IF(OR(U154&gt;0,Listas!$B$13&lt;&gt;"OK"),"Dados pendentes",IF(J154&lt;=0,"Sem saldo",IF(N154="VENCIDO","Vencidos",IF(OR(M154="Quarentena",M154="Bloqueado"),"Restritos vigentes",IF(OR(N154="CRÍTICO",N154="VENCE NA JANELA"),"Liberados na janela","Demais liberados"))))))</x:f>
      </x:c>
      <x:c r="AF154" s="167" t="str">
        <x:f>IF(A154&lt;&gt;"",A154,IF(U154&gt;0,"Sem ID (linha "&amp;ROW()&amp;")",""))</x:f>
      </x:c>
      <x:c r="AG154" s="167" t="str">
        <x:f>IF(AD154="","",IF(OR(NOT(ISNUMBER(AD154)),AD154&lt;=0),"Prazo da ação inválido",""))</x:f>
      </x:c>
      <x:c r="AH154" s="167" t="n">
        <x:f>IF(AG154="",0,1)</x:f>
        <x:v>0</x:v>
      </x:c>
    </x:row>
    <x:row r="155" ht="32" customHeight="1">
      <x:c r="A155" s="27"/>
      <x:c r="B155" s="27"/>
      <x:c r="C155" s="40" t="str">
        <x:f>IF($B155="","",IFERROR(INDEX(Produtos!$B$5:$B$204,MATCH($B155,Produtos!$A$5:$A$204,0)),""))</x:f>
      </x:c>
      <x:c r="D155" s="170"/>
      <x:c r="E155" s="179"/>
      <x:c r="F155" s="179"/>
      <x:c r="G155" s="179"/>
      <x:c r="H155" s="40" t="str">
        <x:f>IF(A155="","",IF(OR(S155&lt;&gt;"",Listas!$B$13&lt;&gt;"OK"),"n.a.",G155-Listas!$B$6))</x:f>
      </x:c>
      <x:c r="I155" s="40"/>
      <x:c r="J155" s="40" t="str">
        <x:f>IF(A155="","",IF(OR(S155&lt;&gt;"",T155&gt;0,Listas!$B$13&lt;&gt;"OK"),"n.a.",SUMIFS(Movimentacoes!$H$5:$H$304,Movimentacoes!$D$5:$D$304,A155,Movimentacoes!$B$5:$B$304,"&lt;="&amp;Listas!$B$6)))</x:f>
      </x:c>
      <x:c r="K155" s="180"/>
      <x:c r="L155" s="181" t="str">
        <x:f>IF(A155="","",IF(OR(U155&gt;0,Listas!$B$13&lt;&gt;"OK"),"n.a.",J155*K155))</x:f>
      </x:c>
      <x:c r="M155" s="27"/>
      <x:c r="N155" s="40" t="str">
        <x:f>IF(A155="","",IF(OR(U155&gt;0,Listas!$B$13&lt;&gt;"OK"),"REVISAR DADOS",IF(J155=0,"SEM SALDO",IF(G155&lt;Listas!$B$6,"VENCIDO",IF(H155&lt;=Listas!$B$7,"CRÍTICO",IF(H155&lt;=Listas!$B$8,"VENCE NA JANELA","OK"))))))</x:f>
      </x:c>
      <x:c r="O155" s="41" t="str">
        <x:f>IF(A155="","",IF(AND(ISNUMBER(V155),V155&gt;0),G155,""))</x:f>
      </x:c>
      <x:c r="P155" s="40" t="str">
        <x:f>IF(A155="","",IF(OR(U155&gt;0,Listas!$B$13&lt;&gt;"OK"),"REVISAR DADOS",IF(J155=0,"ARQUIVAR LOTE",IF(M155="Quarentena","DECIDIR LIBERAÇÃO",IF(M155="Bloqueado","SEGREGAR E INVESTIGAR",IF(M155="Esgotado","REVISAR STATUS COM SALDO",IF(N155="VENCIDO","SEGREGAR E AVALIAR DESTINAÇÃO",IF(OR(N155="CRÍTICO",N155="VENCE NA JANELA"),"PRIORIZAR FEFO","MANTER ROTAÇÃO"))))))))</x:f>
      </x:c>
      <x:c r="Q155" s="27"/>
      <x:c r="R155" s="181" t="str">
        <x:f>IF(A155="","",IF(OR(U155&gt;0,Listas!$B$13&lt;&gt;"OK"),"n.a.",IF(OR(N155="VENCIDO",N155="CRÍTICO",N155="VENCE NA JANELA",M155="Quarentena",M155="Bloqueado"),L155,0)))</x:f>
      </x:c>
      <x:c r="S155" s="163" t="str">
        <x:f>IF(COUNTA(A155:B155,D155:G155,I155,K155,M155,Q155,AB155:AD155)=0,"",IF(OR(A155="",COUNTIFS($A$5:$A$204,A155)&lt;&gt;1),"Lote ausente ou duplicado",IF(OR(B155="",COUNTIFS(Produtos!$A$5:$A$204,B155)&lt;&gt;1),"SKU ausente ou desconhecido",IF(COUNTIFS(Produtos!$A$5:$A$204,B155,Produtos!$R$5:$R$204,1)&gt;0,"Revisar cadastro do produto",IF(OR(NOT(ISNUMBER(E155)),E155&lt;=0,NOT(ISNUMBER(G155)),G155&lt;=0,G155&lt;E155),"Recebimento ou validade inválida",IF(AND(F155&lt;&gt;"",OR(NOT(ISNUMBER(F155)),F155&lt;=0,F155&gt;E155)),"Fabricação inválida ou posterior ao recebimento",IF(OR(NOT(ISNUMBER(K155)),K155&lt;0,NOT(ISNUMBER(I155)),I155&lt;0),"Quantidade recebida ou custo inválido",IF(AND(M155&lt;&gt;"Liberado",M155&lt;&gt;"Quarentena",M155&lt;&gt;"Bloqueado",M155&lt;&gt;"Esgotado"),"Status de lote inválido",""))))))))</x:f>
      </x:c>
      <x:c r="T155" s="163" t="n">
        <x:f>IF(A155="",0,COUNTIFS(Movimentacoes!$D$5:$D$304,A155,Movimentacoes!$P$5:$P$304,1))</x:f>
        <x:v>0</x:v>
      </x:c>
      <x:c r="U155" s="163" t="n">
        <x:f>IF(COUNTA(A155:B155,D155:G155,I155,K155,M155,Q155,AB155:AD155)=0,0,IF(OR(S155&lt;&gt;"",T155&gt;0),1,IF(ISNUMBER(J155),IF(OR(J155&lt;0,AND(J155&gt;0,M155="Esgotado")),1,0),0)))</x:f>
        <x:v>0</x:v>
      </x:c>
      <x:c r="V155" s="163" t="str">
        <x:f>IF(A155="","",IF(OR(U155&gt;0,Listas!$B$13&lt;&gt;"OK"),"n.a.",IF(AND(J155&gt;0,M155="Liberado",G155&gt;=Listas!$B$6),J155,0)))</x:f>
      </x:c>
      <x:c r="W155" s="163" t="str">
        <x:f>IF(A155="","",IF(OR(U155&gt;0,Listas!$B$13&lt;&gt;"OK"),"n.a.",V155*K155))</x:f>
      </x:c>
      <x:c r="X155" s="167" t="n">
        <x:f>IF(COUNTA(A155:B155,D155:G155,I155,K155,M155,Q155,AB155:AD155)=0,0,IF(OR(Listas!$B$19="Todos",B155=Listas!$B$19,COUNTIFS(Produtos!$A$5:$A$204,B155)&lt;&gt;1),1,0))</x:f>
        <x:v>0</x:v>
      </x:c>
      <x:c r="Y155" s="167" t="str">
        <x:f>IF(X155=0,"",IF(Listas!$B$13&lt;&gt;"OK","Revisar parâmetros",IF(U155&gt;0,IF(S155&lt;&gt;"",S155,IF(T155&gt;0,"Revisar movimentos",IF(AND(ISNUMBER(J155),J155&lt;0),"Saldo negativo","Status esgotado com saldo"))),IF(AG155&lt;&gt;"",AG155&amp;". ","")&amp;IF(J155&lt;=0,"",IF(N155="VENCIDO","Validade vencida. ","")&amp;IF(M155="Quarentena","Em quarentena. ","")&amp;IF(M155="Bloqueado","Lote bloqueado. ","")&amp;IF(N155="CRÍTICO","Validade crítica. ","")&amp;IF(N155="VENCE NA JANELA","Vence na janela. ","")))))</x:f>
      </x:c>
      <x:c r="Z155" s="167" t="n">
        <x:f>IF(OR(X155=0,Y155=""),0,IF(OR(Listas!$B$13&lt;&gt;"OK",U155&gt;0,AH155&gt;0),1,IF(N155="VENCIDO",2,IF(OR(M155="Quarentena",M155="Bloqueado"),3,IF(N155="CRÍTICO",4,5)))))</x:f>
        <x:v>0</x:v>
      </x:c>
      <x:c r="AA155" s="167" t="n">
        <x:f>IF(Z155=0,0,COUNTIFS($Z$5:$Z$204,"&gt;0",$Z$5:$Z$204,"&lt;"&amp;Z155,$X$5:$X$204,1)+COUNTIFS($Z$5:Z155,Z155,$X$5:X155,1))</x:f>
        <x:v>0</x:v>
      </x:c>
      <x:c r="AB155" s="168"/>
      <x:c r="AC155" s="168"/>
      <x:c r="AD155" s="169"/>
      <x:c r="AE155" s="167" t="str">
        <x:f>IF(X155=0,"",IF(OR(U155&gt;0,Listas!$B$13&lt;&gt;"OK"),"Dados pendentes",IF(J155&lt;=0,"Sem saldo",IF(N155="VENCIDO","Vencidos",IF(OR(M155="Quarentena",M155="Bloqueado"),"Restritos vigentes",IF(OR(N155="CRÍTICO",N155="VENCE NA JANELA"),"Liberados na janela","Demais liberados"))))))</x:f>
      </x:c>
      <x:c r="AF155" s="167" t="str">
        <x:f>IF(A155&lt;&gt;"",A155,IF(U155&gt;0,"Sem ID (linha "&amp;ROW()&amp;")",""))</x:f>
      </x:c>
      <x:c r="AG155" s="167" t="str">
        <x:f>IF(AD155="","",IF(OR(NOT(ISNUMBER(AD155)),AD155&lt;=0),"Prazo da ação inválido",""))</x:f>
      </x:c>
      <x:c r="AH155" s="167" t="n">
        <x:f>IF(AG155="",0,1)</x:f>
        <x:v>0</x:v>
      </x:c>
    </x:row>
    <x:row r="156" ht="32" customHeight="1">
      <x:c r="A156" s="27"/>
      <x:c r="B156" s="27"/>
      <x:c r="C156" s="40" t="str">
        <x:f>IF($B156="","",IFERROR(INDEX(Produtos!$B$5:$B$204,MATCH($B156,Produtos!$A$5:$A$204,0)),""))</x:f>
      </x:c>
      <x:c r="D156" s="170"/>
      <x:c r="E156" s="179"/>
      <x:c r="F156" s="179"/>
      <x:c r="G156" s="179"/>
      <x:c r="H156" s="40" t="str">
        <x:f>IF(A156="","",IF(OR(S156&lt;&gt;"",Listas!$B$13&lt;&gt;"OK"),"n.a.",G156-Listas!$B$6))</x:f>
      </x:c>
      <x:c r="I156" s="40"/>
      <x:c r="J156" s="40" t="str">
        <x:f>IF(A156="","",IF(OR(S156&lt;&gt;"",T156&gt;0,Listas!$B$13&lt;&gt;"OK"),"n.a.",SUMIFS(Movimentacoes!$H$5:$H$304,Movimentacoes!$D$5:$D$304,A156,Movimentacoes!$B$5:$B$304,"&lt;="&amp;Listas!$B$6)))</x:f>
      </x:c>
      <x:c r="K156" s="180"/>
      <x:c r="L156" s="181" t="str">
        <x:f>IF(A156="","",IF(OR(U156&gt;0,Listas!$B$13&lt;&gt;"OK"),"n.a.",J156*K156))</x:f>
      </x:c>
      <x:c r="M156" s="27"/>
      <x:c r="N156" s="40" t="str">
        <x:f>IF(A156="","",IF(OR(U156&gt;0,Listas!$B$13&lt;&gt;"OK"),"REVISAR DADOS",IF(J156=0,"SEM SALDO",IF(G156&lt;Listas!$B$6,"VENCIDO",IF(H156&lt;=Listas!$B$7,"CRÍTICO",IF(H156&lt;=Listas!$B$8,"VENCE NA JANELA","OK"))))))</x:f>
      </x:c>
      <x:c r="O156" s="41" t="str">
        <x:f>IF(A156="","",IF(AND(ISNUMBER(V156),V156&gt;0),G156,""))</x:f>
      </x:c>
      <x:c r="P156" s="40" t="str">
        <x:f>IF(A156="","",IF(OR(U156&gt;0,Listas!$B$13&lt;&gt;"OK"),"REVISAR DADOS",IF(J156=0,"ARQUIVAR LOTE",IF(M156="Quarentena","DECIDIR LIBERAÇÃO",IF(M156="Bloqueado","SEGREGAR E INVESTIGAR",IF(M156="Esgotado","REVISAR STATUS COM SALDO",IF(N156="VENCIDO","SEGREGAR E AVALIAR DESTINAÇÃO",IF(OR(N156="CRÍTICO",N156="VENCE NA JANELA"),"PRIORIZAR FEFO","MANTER ROTAÇÃO"))))))))</x:f>
      </x:c>
      <x:c r="Q156" s="27"/>
      <x:c r="R156" s="181" t="str">
        <x:f>IF(A156="","",IF(OR(U156&gt;0,Listas!$B$13&lt;&gt;"OK"),"n.a.",IF(OR(N156="VENCIDO",N156="CRÍTICO",N156="VENCE NA JANELA",M156="Quarentena",M156="Bloqueado"),L156,0)))</x:f>
      </x:c>
      <x:c r="S156" s="163" t="str">
        <x:f>IF(COUNTA(A156:B156,D156:G156,I156,K156,M156,Q156,AB156:AD156)=0,"",IF(OR(A156="",COUNTIFS($A$5:$A$204,A156)&lt;&gt;1),"Lote ausente ou duplicado",IF(OR(B156="",COUNTIFS(Produtos!$A$5:$A$204,B156)&lt;&gt;1),"SKU ausente ou desconhecido",IF(COUNTIFS(Produtos!$A$5:$A$204,B156,Produtos!$R$5:$R$204,1)&gt;0,"Revisar cadastro do produto",IF(OR(NOT(ISNUMBER(E156)),E156&lt;=0,NOT(ISNUMBER(G156)),G156&lt;=0,G156&lt;E156),"Recebimento ou validade inválida",IF(AND(F156&lt;&gt;"",OR(NOT(ISNUMBER(F156)),F156&lt;=0,F156&gt;E156)),"Fabricação inválida ou posterior ao recebimento",IF(OR(NOT(ISNUMBER(K156)),K156&lt;0,NOT(ISNUMBER(I156)),I156&lt;0),"Quantidade recebida ou custo inválido",IF(AND(M156&lt;&gt;"Liberado",M156&lt;&gt;"Quarentena",M156&lt;&gt;"Bloqueado",M156&lt;&gt;"Esgotado"),"Status de lote inválido",""))))))))</x:f>
      </x:c>
      <x:c r="T156" s="163" t="n">
        <x:f>IF(A156="",0,COUNTIFS(Movimentacoes!$D$5:$D$304,A156,Movimentacoes!$P$5:$P$304,1))</x:f>
        <x:v>0</x:v>
      </x:c>
      <x:c r="U156" s="163" t="n">
        <x:f>IF(COUNTA(A156:B156,D156:G156,I156,K156,M156,Q156,AB156:AD156)=0,0,IF(OR(S156&lt;&gt;"",T156&gt;0),1,IF(ISNUMBER(J156),IF(OR(J156&lt;0,AND(J156&gt;0,M156="Esgotado")),1,0),0)))</x:f>
        <x:v>0</x:v>
      </x:c>
      <x:c r="V156" s="163" t="str">
        <x:f>IF(A156="","",IF(OR(U156&gt;0,Listas!$B$13&lt;&gt;"OK"),"n.a.",IF(AND(J156&gt;0,M156="Liberado",G156&gt;=Listas!$B$6),J156,0)))</x:f>
      </x:c>
      <x:c r="W156" s="163" t="str">
        <x:f>IF(A156="","",IF(OR(U156&gt;0,Listas!$B$13&lt;&gt;"OK"),"n.a.",V156*K156))</x:f>
      </x:c>
      <x:c r="X156" s="167" t="n">
        <x:f>IF(COUNTA(A156:B156,D156:G156,I156,K156,M156,Q156,AB156:AD156)=0,0,IF(OR(Listas!$B$19="Todos",B156=Listas!$B$19,COUNTIFS(Produtos!$A$5:$A$204,B156)&lt;&gt;1),1,0))</x:f>
        <x:v>0</x:v>
      </x:c>
      <x:c r="Y156" s="167" t="str">
        <x:f>IF(X156=0,"",IF(Listas!$B$13&lt;&gt;"OK","Revisar parâmetros",IF(U156&gt;0,IF(S156&lt;&gt;"",S156,IF(T156&gt;0,"Revisar movimentos",IF(AND(ISNUMBER(J156),J156&lt;0),"Saldo negativo","Status esgotado com saldo"))),IF(AG156&lt;&gt;"",AG156&amp;". ","")&amp;IF(J156&lt;=0,"",IF(N156="VENCIDO","Validade vencida. ","")&amp;IF(M156="Quarentena","Em quarentena. ","")&amp;IF(M156="Bloqueado","Lote bloqueado. ","")&amp;IF(N156="CRÍTICO","Validade crítica. ","")&amp;IF(N156="VENCE NA JANELA","Vence na janela. ","")))))</x:f>
      </x:c>
      <x:c r="Z156" s="167" t="n">
        <x:f>IF(OR(X156=0,Y156=""),0,IF(OR(Listas!$B$13&lt;&gt;"OK",U156&gt;0,AH156&gt;0),1,IF(N156="VENCIDO",2,IF(OR(M156="Quarentena",M156="Bloqueado"),3,IF(N156="CRÍTICO",4,5)))))</x:f>
        <x:v>0</x:v>
      </x:c>
      <x:c r="AA156" s="167" t="n">
        <x:f>IF(Z156=0,0,COUNTIFS($Z$5:$Z$204,"&gt;0",$Z$5:$Z$204,"&lt;"&amp;Z156,$X$5:$X$204,1)+COUNTIFS($Z$5:Z156,Z156,$X$5:X156,1))</x:f>
        <x:v>0</x:v>
      </x:c>
      <x:c r="AB156" s="168"/>
      <x:c r="AC156" s="168"/>
      <x:c r="AD156" s="169"/>
      <x:c r="AE156" s="167" t="str">
        <x:f>IF(X156=0,"",IF(OR(U156&gt;0,Listas!$B$13&lt;&gt;"OK"),"Dados pendentes",IF(J156&lt;=0,"Sem saldo",IF(N156="VENCIDO","Vencidos",IF(OR(M156="Quarentena",M156="Bloqueado"),"Restritos vigentes",IF(OR(N156="CRÍTICO",N156="VENCE NA JANELA"),"Liberados na janela","Demais liberados"))))))</x:f>
      </x:c>
      <x:c r="AF156" s="167" t="str">
        <x:f>IF(A156&lt;&gt;"",A156,IF(U156&gt;0,"Sem ID (linha "&amp;ROW()&amp;")",""))</x:f>
      </x:c>
      <x:c r="AG156" s="167" t="str">
        <x:f>IF(AD156="","",IF(OR(NOT(ISNUMBER(AD156)),AD156&lt;=0),"Prazo da ação inválido",""))</x:f>
      </x:c>
      <x:c r="AH156" s="167" t="n">
        <x:f>IF(AG156="",0,1)</x:f>
        <x:v>0</x:v>
      </x:c>
    </x:row>
    <x:row r="157" ht="32" customHeight="1">
      <x:c r="A157" s="27"/>
      <x:c r="B157" s="27"/>
      <x:c r="C157" s="40" t="str">
        <x:f>IF($B157="","",IFERROR(INDEX(Produtos!$B$5:$B$204,MATCH($B157,Produtos!$A$5:$A$204,0)),""))</x:f>
      </x:c>
      <x:c r="D157" s="170"/>
      <x:c r="E157" s="179"/>
      <x:c r="F157" s="179"/>
      <x:c r="G157" s="179"/>
      <x:c r="H157" s="40" t="str">
        <x:f>IF(A157="","",IF(OR(S157&lt;&gt;"",Listas!$B$13&lt;&gt;"OK"),"n.a.",G157-Listas!$B$6))</x:f>
      </x:c>
      <x:c r="I157" s="40"/>
      <x:c r="J157" s="40" t="str">
        <x:f>IF(A157="","",IF(OR(S157&lt;&gt;"",T157&gt;0,Listas!$B$13&lt;&gt;"OK"),"n.a.",SUMIFS(Movimentacoes!$H$5:$H$304,Movimentacoes!$D$5:$D$304,A157,Movimentacoes!$B$5:$B$304,"&lt;="&amp;Listas!$B$6)))</x:f>
      </x:c>
      <x:c r="K157" s="180"/>
      <x:c r="L157" s="181" t="str">
        <x:f>IF(A157="","",IF(OR(U157&gt;0,Listas!$B$13&lt;&gt;"OK"),"n.a.",J157*K157))</x:f>
      </x:c>
      <x:c r="M157" s="27"/>
      <x:c r="N157" s="40" t="str">
        <x:f>IF(A157="","",IF(OR(U157&gt;0,Listas!$B$13&lt;&gt;"OK"),"REVISAR DADOS",IF(J157=0,"SEM SALDO",IF(G157&lt;Listas!$B$6,"VENCIDO",IF(H157&lt;=Listas!$B$7,"CRÍTICO",IF(H157&lt;=Listas!$B$8,"VENCE NA JANELA","OK"))))))</x:f>
      </x:c>
      <x:c r="O157" s="41" t="str">
        <x:f>IF(A157="","",IF(AND(ISNUMBER(V157),V157&gt;0),G157,""))</x:f>
      </x:c>
      <x:c r="P157" s="40" t="str">
        <x:f>IF(A157="","",IF(OR(U157&gt;0,Listas!$B$13&lt;&gt;"OK"),"REVISAR DADOS",IF(J157=0,"ARQUIVAR LOTE",IF(M157="Quarentena","DECIDIR LIBERAÇÃO",IF(M157="Bloqueado","SEGREGAR E INVESTIGAR",IF(M157="Esgotado","REVISAR STATUS COM SALDO",IF(N157="VENCIDO","SEGREGAR E AVALIAR DESTINAÇÃO",IF(OR(N157="CRÍTICO",N157="VENCE NA JANELA"),"PRIORIZAR FEFO","MANTER ROTAÇÃO"))))))))</x:f>
      </x:c>
      <x:c r="Q157" s="27"/>
      <x:c r="R157" s="181" t="str">
        <x:f>IF(A157="","",IF(OR(U157&gt;0,Listas!$B$13&lt;&gt;"OK"),"n.a.",IF(OR(N157="VENCIDO",N157="CRÍTICO",N157="VENCE NA JANELA",M157="Quarentena",M157="Bloqueado"),L157,0)))</x:f>
      </x:c>
      <x:c r="S157" s="163" t="str">
        <x:f>IF(COUNTA(A157:B157,D157:G157,I157,K157,M157,Q157,AB157:AD157)=0,"",IF(OR(A157="",COUNTIFS($A$5:$A$204,A157)&lt;&gt;1),"Lote ausente ou duplicado",IF(OR(B157="",COUNTIFS(Produtos!$A$5:$A$204,B157)&lt;&gt;1),"SKU ausente ou desconhecido",IF(COUNTIFS(Produtos!$A$5:$A$204,B157,Produtos!$R$5:$R$204,1)&gt;0,"Revisar cadastro do produto",IF(OR(NOT(ISNUMBER(E157)),E157&lt;=0,NOT(ISNUMBER(G157)),G157&lt;=0,G157&lt;E157),"Recebimento ou validade inválida",IF(AND(F157&lt;&gt;"",OR(NOT(ISNUMBER(F157)),F157&lt;=0,F157&gt;E157)),"Fabricação inválida ou posterior ao recebimento",IF(OR(NOT(ISNUMBER(K157)),K157&lt;0,NOT(ISNUMBER(I157)),I157&lt;0),"Quantidade recebida ou custo inválido",IF(AND(M157&lt;&gt;"Liberado",M157&lt;&gt;"Quarentena",M157&lt;&gt;"Bloqueado",M157&lt;&gt;"Esgotado"),"Status de lote inválido",""))))))))</x:f>
      </x:c>
      <x:c r="T157" s="163" t="n">
        <x:f>IF(A157="",0,COUNTIFS(Movimentacoes!$D$5:$D$304,A157,Movimentacoes!$P$5:$P$304,1))</x:f>
        <x:v>0</x:v>
      </x:c>
      <x:c r="U157" s="163" t="n">
        <x:f>IF(COUNTA(A157:B157,D157:G157,I157,K157,M157,Q157,AB157:AD157)=0,0,IF(OR(S157&lt;&gt;"",T157&gt;0),1,IF(ISNUMBER(J157),IF(OR(J157&lt;0,AND(J157&gt;0,M157="Esgotado")),1,0),0)))</x:f>
        <x:v>0</x:v>
      </x:c>
      <x:c r="V157" s="163" t="str">
        <x:f>IF(A157="","",IF(OR(U157&gt;0,Listas!$B$13&lt;&gt;"OK"),"n.a.",IF(AND(J157&gt;0,M157="Liberado",G157&gt;=Listas!$B$6),J157,0)))</x:f>
      </x:c>
      <x:c r="W157" s="163" t="str">
        <x:f>IF(A157="","",IF(OR(U157&gt;0,Listas!$B$13&lt;&gt;"OK"),"n.a.",V157*K157))</x:f>
      </x:c>
      <x:c r="X157" s="167" t="n">
        <x:f>IF(COUNTA(A157:B157,D157:G157,I157,K157,M157,Q157,AB157:AD157)=0,0,IF(OR(Listas!$B$19="Todos",B157=Listas!$B$19,COUNTIFS(Produtos!$A$5:$A$204,B157)&lt;&gt;1),1,0))</x:f>
        <x:v>0</x:v>
      </x:c>
      <x:c r="Y157" s="167" t="str">
        <x:f>IF(X157=0,"",IF(Listas!$B$13&lt;&gt;"OK","Revisar parâmetros",IF(U157&gt;0,IF(S157&lt;&gt;"",S157,IF(T157&gt;0,"Revisar movimentos",IF(AND(ISNUMBER(J157),J157&lt;0),"Saldo negativo","Status esgotado com saldo"))),IF(AG157&lt;&gt;"",AG157&amp;". ","")&amp;IF(J157&lt;=0,"",IF(N157="VENCIDO","Validade vencida. ","")&amp;IF(M157="Quarentena","Em quarentena. ","")&amp;IF(M157="Bloqueado","Lote bloqueado. ","")&amp;IF(N157="CRÍTICO","Validade crítica. ","")&amp;IF(N157="VENCE NA JANELA","Vence na janela. ","")))))</x:f>
      </x:c>
      <x:c r="Z157" s="167" t="n">
        <x:f>IF(OR(X157=0,Y157=""),0,IF(OR(Listas!$B$13&lt;&gt;"OK",U157&gt;0,AH157&gt;0),1,IF(N157="VENCIDO",2,IF(OR(M157="Quarentena",M157="Bloqueado"),3,IF(N157="CRÍTICO",4,5)))))</x:f>
        <x:v>0</x:v>
      </x:c>
      <x:c r="AA157" s="167" t="n">
        <x:f>IF(Z157=0,0,COUNTIFS($Z$5:$Z$204,"&gt;0",$Z$5:$Z$204,"&lt;"&amp;Z157,$X$5:$X$204,1)+COUNTIFS($Z$5:Z157,Z157,$X$5:X157,1))</x:f>
        <x:v>0</x:v>
      </x:c>
      <x:c r="AB157" s="168"/>
      <x:c r="AC157" s="168"/>
      <x:c r="AD157" s="169"/>
      <x:c r="AE157" s="167" t="str">
        <x:f>IF(X157=0,"",IF(OR(U157&gt;0,Listas!$B$13&lt;&gt;"OK"),"Dados pendentes",IF(J157&lt;=0,"Sem saldo",IF(N157="VENCIDO","Vencidos",IF(OR(M157="Quarentena",M157="Bloqueado"),"Restritos vigentes",IF(OR(N157="CRÍTICO",N157="VENCE NA JANELA"),"Liberados na janela","Demais liberados"))))))</x:f>
      </x:c>
      <x:c r="AF157" s="167" t="str">
        <x:f>IF(A157&lt;&gt;"",A157,IF(U157&gt;0,"Sem ID (linha "&amp;ROW()&amp;")",""))</x:f>
      </x:c>
      <x:c r="AG157" s="167" t="str">
        <x:f>IF(AD157="","",IF(OR(NOT(ISNUMBER(AD157)),AD157&lt;=0),"Prazo da ação inválido",""))</x:f>
      </x:c>
      <x:c r="AH157" s="167" t="n">
        <x:f>IF(AG157="",0,1)</x:f>
        <x:v>0</x:v>
      </x:c>
    </x:row>
    <x:row r="158" ht="32" customHeight="1">
      <x:c r="A158" s="27"/>
      <x:c r="B158" s="27"/>
      <x:c r="C158" s="40" t="str">
        <x:f>IF($B158="","",IFERROR(INDEX(Produtos!$B$5:$B$204,MATCH($B158,Produtos!$A$5:$A$204,0)),""))</x:f>
      </x:c>
      <x:c r="D158" s="170"/>
      <x:c r="E158" s="179"/>
      <x:c r="F158" s="179"/>
      <x:c r="G158" s="179"/>
      <x:c r="H158" s="40" t="str">
        <x:f>IF(A158="","",IF(OR(S158&lt;&gt;"",Listas!$B$13&lt;&gt;"OK"),"n.a.",G158-Listas!$B$6))</x:f>
      </x:c>
      <x:c r="I158" s="40"/>
      <x:c r="J158" s="40" t="str">
        <x:f>IF(A158="","",IF(OR(S158&lt;&gt;"",T158&gt;0,Listas!$B$13&lt;&gt;"OK"),"n.a.",SUMIFS(Movimentacoes!$H$5:$H$304,Movimentacoes!$D$5:$D$304,A158,Movimentacoes!$B$5:$B$304,"&lt;="&amp;Listas!$B$6)))</x:f>
      </x:c>
      <x:c r="K158" s="180"/>
      <x:c r="L158" s="181" t="str">
        <x:f>IF(A158="","",IF(OR(U158&gt;0,Listas!$B$13&lt;&gt;"OK"),"n.a.",J158*K158))</x:f>
      </x:c>
      <x:c r="M158" s="27"/>
      <x:c r="N158" s="40" t="str">
        <x:f>IF(A158="","",IF(OR(U158&gt;0,Listas!$B$13&lt;&gt;"OK"),"REVISAR DADOS",IF(J158=0,"SEM SALDO",IF(G158&lt;Listas!$B$6,"VENCIDO",IF(H158&lt;=Listas!$B$7,"CRÍTICO",IF(H158&lt;=Listas!$B$8,"VENCE NA JANELA","OK"))))))</x:f>
      </x:c>
      <x:c r="O158" s="41" t="str">
        <x:f>IF(A158="","",IF(AND(ISNUMBER(V158),V158&gt;0),G158,""))</x:f>
      </x:c>
      <x:c r="P158" s="40" t="str">
        <x:f>IF(A158="","",IF(OR(U158&gt;0,Listas!$B$13&lt;&gt;"OK"),"REVISAR DADOS",IF(J158=0,"ARQUIVAR LOTE",IF(M158="Quarentena","DECIDIR LIBERAÇÃO",IF(M158="Bloqueado","SEGREGAR E INVESTIGAR",IF(M158="Esgotado","REVISAR STATUS COM SALDO",IF(N158="VENCIDO","SEGREGAR E AVALIAR DESTINAÇÃO",IF(OR(N158="CRÍTICO",N158="VENCE NA JANELA"),"PRIORIZAR FEFO","MANTER ROTAÇÃO"))))))))</x:f>
      </x:c>
      <x:c r="Q158" s="27"/>
      <x:c r="R158" s="181" t="str">
        <x:f>IF(A158="","",IF(OR(U158&gt;0,Listas!$B$13&lt;&gt;"OK"),"n.a.",IF(OR(N158="VENCIDO",N158="CRÍTICO",N158="VENCE NA JANELA",M158="Quarentena",M158="Bloqueado"),L158,0)))</x:f>
      </x:c>
      <x:c r="S158" s="163" t="str">
        <x:f>IF(COUNTA(A158:B158,D158:G158,I158,K158,M158,Q158,AB158:AD158)=0,"",IF(OR(A158="",COUNTIFS($A$5:$A$204,A158)&lt;&gt;1),"Lote ausente ou duplicado",IF(OR(B158="",COUNTIFS(Produtos!$A$5:$A$204,B158)&lt;&gt;1),"SKU ausente ou desconhecido",IF(COUNTIFS(Produtos!$A$5:$A$204,B158,Produtos!$R$5:$R$204,1)&gt;0,"Revisar cadastro do produto",IF(OR(NOT(ISNUMBER(E158)),E158&lt;=0,NOT(ISNUMBER(G158)),G158&lt;=0,G158&lt;E158),"Recebimento ou validade inválida",IF(AND(F158&lt;&gt;"",OR(NOT(ISNUMBER(F158)),F158&lt;=0,F158&gt;E158)),"Fabricação inválida ou posterior ao recebimento",IF(OR(NOT(ISNUMBER(K158)),K158&lt;0,NOT(ISNUMBER(I158)),I158&lt;0),"Quantidade recebida ou custo inválido",IF(AND(M158&lt;&gt;"Liberado",M158&lt;&gt;"Quarentena",M158&lt;&gt;"Bloqueado",M158&lt;&gt;"Esgotado"),"Status de lote inválido",""))))))))</x:f>
      </x:c>
      <x:c r="T158" s="163" t="n">
        <x:f>IF(A158="",0,COUNTIFS(Movimentacoes!$D$5:$D$304,A158,Movimentacoes!$P$5:$P$304,1))</x:f>
        <x:v>0</x:v>
      </x:c>
      <x:c r="U158" s="163" t="n">
        <x:f>IF(COUNTA(A158:B158,D158:G158,I158,K158,M158,Q158,AB158:AD158)=0,0,IF(OR(S158&lt;&gt;"",T158&gt;0),1,IF(ISNUMBER(J158),IF(OR(J158&lt;0,AND(J158&gt;0,M158="Esgotado")),1,0),0)))</x:f>
        <x:v>0</x:v>
      </x:c>
      <x:c r="V158" s="163" t="str">
        <x:f>IF(A158="","",IF(OR(U158&gt;0,Listas!$B$13&lt;&gt;"OK"),"n.a.",IF(AND(J158&gt;0,M158="Liberado",G158&gt;=Listas!$B$6),J158,0)))</x:f>
      </x:c>
      <x:c r="W158" s="163" t="str">
        <x:f>IF(A158="","",IF(OR(U158&gt;0,Listas!$B$13&lt;&gt;"OK"),"n.a.",V158*K158))</x:f>
      </x:c>
      <x:c r="X158" s="167" t="n">
        <x:f>IF(COUNTA(A158:B158,D158:G158,I158,K158,M158,Q158,AB158:AD158)=0,0,IF(OR(Listas!$B$19="Todos",B158=Listas!$B$19,COUNTIFS(Produtos!$A$5:$A$204,B158)&lt;&gt;1),1,0))</x:f>
        <x:v>0</x:v>
      </x:c>
      <x:c r="Y158" s="167" t="str">
        <x:f>IF(X158=0,"",IF(Listas!$B$13&lt;&gt;"OK","Revisar parâmetros",IF(U158&gt;0,IF(S158&lt;&gt;"",S158,IF(T158&gt;0,"Revisar movimentos",IF(AND(ISNUMBER(J158),J158&lt;0),"Saldo negativo","Status esgotado com saldo"))),IF(AG158&lt;&gt;"",AG158&amp;". ","")&amp;IF(J158&lt;=0,"",IF(N158="VENCIDO","Validade vencida. ","")&amp;IF(M158="Quarentena","Em quarentena. ","")&amp;IF(M158="Bloqueado","Lote bloqueado. ","")&amp;IF(N158="CRÍTICO","Validade crítica. ","")&amp;IF(N158="VENCE NA JANELA","Vence na janela. ","")))))</x:f>
      </x:c>
      <x:c r="Z158" s="167" t="n">
        <x:f>IF(OR(X158=0,Y158=""),0,IF(OR(Listas!$B$13&lt;&gt;"OK",U158&gt;0,AH158&gt;0),1,IF(N158="VENCIDO",2,IF(OR(M158="Quarentena",M158="Bloqueado"),3,IF(N158="CRÍTICO",4,5)))))</x:f>
        <x:v>0</x:v>
      </x:c>
      <x:c r="AA158" s="167" t="n">
        <x:f>IF(Z158=0,0,COUNTIFS($Z$5:$Z$204,"&gt;0",$Z$5:$Z$204,"&lt;"&amp;Z158,$X$5:$X$204,1)+COUNTIFS($Z$5:Z158,Z158,$X$5:X158,1))</x:f>
        <x:v>0</x:v>
      </x:c>
      <x:c r="AB158" s="168"/>
      <x:c r="AC158" s="168"/>
      <x:c r="AD158" s="169"/>
      <x:c r="AE158" s="167" t="str">
        <x:f>IF(X158=0,"",IF(OR(U158&gt;0,Listas!$B$13&lt;&gt;"OK"),"Dados pendentes",IF(J158&lt;=0,"Sem saldo",IF(N158="VENCIDO","Vencidos",IF(OR(M158="Quarentena",M158="Bloqueado"),"Restritos vigentes",IF(OR(N158="CRÍTICO",N158="VENCE NA JANELA"),"Liberados na janela","Demais liberados"))))))</x:f>
      </x:c>
      <x:c r="AF158" s="167" t="str">
        <x:f>IF(A158&lt;&gt;"",A158,IF(U158&gt;0,"Sem ID (linha "&amp;ROW()&amp;")",""))</x:f>
      </x:c>
      <x:c r="AG158" s="167" t="str">
        <x:f>IF(AD158="","",IF(OR(NOT(ISNUMBER(AD158)),AD158&lt;=0),"Prazo da ação inválido",""))</x:f>
      </x:c>
      <x:c r="AH158" s="167" t="n">
        <x:f>IF(AG158="",0,1)</x:f>
        <x:v>0</x:v>
      </x:c>
    </x:row>
    <x:row r="159" ht="32" customHeight="1">
      <x:c r="A159" s="27"/>
      <x:c r="B159" s="27"/>
      <x:c r="C159" s="40" t="str">
        <x:f>IF($B159="","",IFERROR(INDEX(Produtos!$B$5:$B$204,MATCH($B159,Produtos!$A$5:$A$204,0)),""))</x:f>
      </x:c>
      <x:c r="D159" s="170"/>
      <x:c r="E159" s="179"/>
      <x:c r="F159" s="179"/>
      <x:c r="G159" s="179"/>
      <x:c r="H159" s="40" t="str">
        <x:f>IF(A159="","",IF(OR(S159&lt;&gt;"",Listas!$B$13&lt;&gt;"OK"),"n.a.",G159-Listas!$B$6))</x:f>
      </x:c>
      <x:c r="I159" s="40"/>
      <x:c r="J159" s="40" t="str">
        <x:f>IF(A159="","",IF(OR(S159&lt;&gt;"",T159&gt;0,Listas!$B$13&lt;&gt;"OK"),"n.a.",SUMIFS(Movimentacoes!$H$5:$H$304,Movimentacoes!$D$5:$D$304,A159,Movimentacoes!$B$5:$B$304,"&lt;="&amp;Listas!$B$6)))</x:f>
      </x:c>
      <x:c r="K159" s="180"/>
      <x:c r="L159" s="181" t="str">
        <x:f>IF(A159="","",IF(OR(U159&gt;0,Listas!$B$13&lt;&gt;"OK"),"n.a.",J159*K159))</x:f>
      </x:c>
      <x:c r="M159" s="27"/>
      <x:c r="N159" s="40" t="str">
        <x:f>IF(A159="","",IF(OR(U159&gt;0,Listas!$B$13&lt;&gt;"OK"),"REVISAR DADOS",IF(J159=0,"SEM SALDO",IF(G159&lt;Listas!$B$6,"VENCIDO",IF(H159&lt;=Listas!$B$7,"CRÍTICO",IF(H159&lt;=Listas!$B$8,"VENCE NA JANELA","OK"))))))</x:f>
      </x:c>
      <x:c r="O159" s="41" t="str">
        <x:f>IF(A159="","",IF(AND(ISNUMBER(V159),V159&gt;0),G159,""))</x:f>
      </x:c>
      <x:c r="P159" s="40" t="str">
        <x:f>IF(A159="","",IF(OR(U159&gt;0,Listas!$B$13&lt;&gt;"OK"),"REVISAR DADOS",IF(J159=0,"ARQUIVAR LOTE",IF(M159="Quarentena","DECIDIR LIBERAÇÃO",IF(M159="Bloqueado","SEGREGAR E INVESTIGAR",IF(M159="Esgotado","REVISAR STATUS COM SALDO",IF(N159="VENCIDO","SEGREGAR E AVALIAR DESTINAÇÃO",IF(OR(N159="CRÍTICO",N159="VENCE NA JANELA"),"PRIORIZAR FEFO","MANTER ROTAÇÃO"))))))))</x:f>
      </x:c>
      <x:c r="Q159" s="27"/>
      <x:c r="R159" s="181" t="str">
        <x:f>IF(A159="","",IF(OR(U159&gt;0,Listas!$B$13&lt;&gt;"OK"),"n.a.",IF(OR(N159="VENCIDO",N159="CRÍTICO",N159="VENCE NA JANELA",M159="Quarentena",M159="Bloqueado"),L159,0)))</x:f>
      </x:c>
      <x:c r="S159" s="163" t="str">
        <x:f>IF(COUNTA(A159:B159,D159:G159,I159,K159,M159,Q159,AB159:AD159)=0,"",IF(OR(A159="",COUNTIFS($A$5:$A$204,A159)&lt;&gt;1),"Lote ausente ou duplicado",IF(OR(B159="",COUNTIFS(Produtos!$A$5:$A$204,B159)&lt;&gt;1),"SKU ausente ou desconhecido",IF(COUNTIFS(Produtos!$A$5:$A$204,B159,Produtos!$R$5:$R$204,1)&gt;0,"Revisar cadastro do produto",IF(OR(NOT(ISNUMBER(E159)),E159&lt;=0,NOT(ISNUMBER(G159)),G159&lt;=0,G159&lt;E159),"Recebimento ou validade inválida",IF(AND(F159&lt;&gt;"",OR(NOT(ISNUMBER(F159)),F159&lt;=0,F159&gt;E159)),"Fabricação inválida ou posterior ao recebimento",IF(OR(NOT(ISNUMBER(K159)),K159&lt;0,NOT(ISNUMBER(I159)),I159&lt;0),"Quantidade recebida ou custo inválido",IF(AND(M159&lt;&gt;"Liberado",M159&lt;&gt;"Quarentena",M159&lt;&gt;"Bloqueado",M159&lt;&gt;"Esgotado"),"Status de lote inválido",""))))))))</x:f>
      </x:c>
      <x:c r="T159" s="163" t="n">
        <x:f>IF(A159="",0,COUNTIFS(Movimentacoes!$D$5:$D$304,A159,Movimentacoes!$P$5:$P$304,1))</x:f>
        <x:v>0</x:v>
      </x:c>
      <x:c r="U159" s="163" t="n">
        <x:f>IF(COUNTA(A159:B159,D159:G159,I159,K159,M159,Q159,AB159:AD159)=0,0,IF(OR(S159&lt;&gt;"",T159&gt;0),1,IF(ISNUMBER(J159),IF(OR(J159&lt;0,AND(J159&gt;0,M159="Esgotado")),1,0),0)))</x:f>
        <x:v>0</x:v>
      </x:c>
      <x:c r="V159" s="163" t="str">
        <x:f>IF(A159="","",IF(OR(U159&gt;0,Listas!$B$13&lt;&gt;"OK"),"n.a.",IF(AND(J159&gt;0,M159="Liberado",G159&gt;=Listas!$B$6),J159,0)))</x:f>
      </x:c>
      <x:c r="W159" s="163" t="str">
        <x:f>IF(A159="","",IF(OR(U159&gt;0,Listas!$B$13&lt;&gt;"OK"),"n.a.",V159*K159))</x:f>
      </x:c>
      <x:c r="X159" s="167" t="n">
        <x:f>IF(COUNTA(A159:B159,D159:G159,I159,K159,M159,Q159,AB159:AD159)=0,0,IF(OR(Listas!$B$19="Todos",B159=Listas!$B$19,COUNTIFS(Produtos!$A$5:$A$204,B159)&lt;&gt;1),1,0))</x:f>
        <x:v>0</x:v>
      </x:c>
      <x:c r="Y159" s="167" t="str">
        <x:f>IF(X159=0,"",IF(Listas!$B$13&lt;&gt;"OK","Revisar parâmetros",IF(U159&gt;0,IF(S159&lt;&gt;"",S159,IF(T159&gt;0,"Revisar movimentos",IF(AND(ISNUMBER(J159),J159&lt;0),"Saldo negativo","Status esgotado com saldo"))),IF(AG159&lt;&gt;"",AG159&amp;". ","")&amp;IF(J159&lt;=0,"",IF(N159="VENCIDO","Validade vencida. ","")&amp;IF(M159="Quarentena","Em quarentena. ","")&amp;IF(M159="Bloqueado","Lote bloqueado. ","")&amp;IF(N159="CRÍTICO","Validade crítica. ","")&amp;IF(N159="VENCE NA JANELA","Vence na janela. ","")))))</x:f>
      </x:c>
      <x:c r="Z159" s="167" t="n">
        <x:f>IF(OR(X159=0,Y159=""),0,IF(OR(Listas!$B$13&lt;&gt;"OK",U159&gt;0,AH159&gt;0),1,IF(N159="VENCIDO",2,IF(OR(M159="Quarentena",M159="Bloqueado"),3,IF(N159="CRÍTICO",4,5)))))</x:f>
        <x:v>0</x:v>
      </x:c>
      <x:c r="AA159" s="167" t="n">
        <x:f>IF(Z159=0,0,COUNTIFS($Z$5:$Z$204,"&gt;0",$Z$5:$Z$204,"&lt;"&amp;Z159,$X$5:$X$204,1)+COUNTIFS($Z$5:Z159,Z159,$X$5:X159,1))</x:f>
        <x:v>0</x:v>
      </x:c>
      <x:c r="AB159" s="168"/>
      <x:c r="AC159" s="168"/>
      <x:c r="AD159" s="169"/>
      <x:c r="AE159" s="167" t="str">
        <x:f>IF(X159=0,"",IF(OR(U159&gt;0,Listas!$B$13&lt;&gt;"OK"),"Dados pendentes",IF(J159&lt;=0,"Sem saldo",IF(N159="VENCIDO","Vencidos",IF(OR(M159="Quarentena",M159="Bloqueado"),"Restritos vigentes",IF(OR(N159="CRÍTICO",N159="VENCE NA JANELA"),"Liberados na janela","Demais liberados"))))))</x:f>
      </x:c>
      <x:c r="AF159" s="167" t="str">
        <x:f>IF(A159&lt;&gt;"",A159,IF(U159&gt;0,"Sem ID (linha "&amp;ROW()&amp;")",""))</x:f>
      </x:c>
      <x:c r="AG159" s="167" t="str">
        <x:f>IF(AD159="","",IF(OR(NOT(ISNUMBER(AD159)),AD159&lt;=0),"Prazo da ação inválido",""))</x:f>
      </x:c>
      <x:c r="AH159" s="167" t="n">
        <x:f>IF(AG159="",0,1)</x:f>
        <x:v>0</x:v>
      </x:c>
    </x:row>
    <x:row r="160" ht="32" customHeight="1">
      <x:c r="A160" s="27"/>
      <x:c r="B160" s="27"/>
      <x:c r="C160" s="40" t="str">
        <x:f>IF($B160="","",IFERROR(INDEX(Produtos!$B$5:$B$204,MATCH($B160,Produtos!$A$5:$A$204,0)),""))</x:f>
      </x:c>
      <x:c r="D160" s="170"/>
      <x:c r="E160" s="179"/>
      <x:c r="F160" s="179"/>
      <x:c r="G160" s="179"/>
      <x:c r="H160" s="40" t="str">
        <x:f>IF(A160="","",IF(OR(S160&lt;&gt;"",Listas!$B$13&lt;&gt;"OK"),"n.a.",G160-Listas!$B$6))</x:f>
      </x:c>
      <x:c r="I160" s="40"/>
      <x:c r="J160" s="40" t="str">
        <x:f>IF(A160="","",IF(OR(S160&lt;&gt;"",T160&gt;0,Listas!$B$13&lt;&gt;"OK"),"n.a.",SUMIFS(Movimentacoes!$H$5:$H$304,Movimentacoes!$D$5:$D$304,A160,Movimentacoes!$B$5:$B$304,"&lt;="&amp;Listas!$B$6)))</x:f>
      </x:c>
      <x:c r="K160" s="180"/>
      <x:c r="L160" s="181" t="str">
        <x:f>IF(A160="","",IF(OR(U160&gt;0,Listas!$B$13&lt;&gt;"OK"),"n.a.",J160*K160))</x:f>
      </x:c>
      <x:c r="M160" s="27"/>
      <x:c r="N160" s="40" t="str">
        <x:f>IF(A160="","",IF(OR(U160&gt;0,Listas!$B$13&lt;&gt;"OK"),"REVISAR DADOS",IF(J160=0,"SEM SALDO",IF(G160&lt;Listas!$B$6,"VENCIDO",IF(H160&lt;=Listas!$B$7,"CRÍTICO",IF(H160&lt;=Listas!$B$8,"VENCE NA JANELA","OK"))))))</x:f>
      </x:c>
      <x:c r="O160" s="41" t="str">
        <x:f>IF(A160="","",IF(AND(ISNUMBER(V160),V160&gt;0),G160,""))</x:f>
      </x:c>
      <x:c r="P160" s="40" t="str">
        <x:f>IF(A160="","",IF(OR(U160&gt;0,Listas!$B$13&lt;&gt;"OK"),"REVISAR DADOS",IF(J160=0,"ARQUIVAR LOTE",IF(M160="Quarentena","DECIDIR LIBERAÇÃO",IF(M160="Bloqueado","SEGREGAR E INVESTIGAR",IF(M160="Esgotado","REVISAR STATUS COM SALDO",IF(N160="VENCIDO","SEGREGAR E AVALIAR DESTINAÇÃO",IF(OR(N160="CRÍTICO",N160="VENCE NA JANELA"),"PRIORIZAR FEFO","MANTER ROTAÇÃO"))))))))</x:f>
      </x:c>
      <x:c r="Q160" s="27"/>
      <x:c r="R160" s="181" t="str">
        <x:f>IF(A160="","",IF(OR(U160&gt;0,Listas!$B$13&lt;&gt;"OK"),"n.a.",IF(OR(N160="VENCIDO",N160="CRÍTICO",N160="VENCE NA JANELA",M160="Quarentena",M160="Bloqueado"),L160,0)))</x:f>
      </x:c>
      <x:c r="S160" s="163" t="str">
        <x:f>IF(COUNTA(A160:B160,D160:G160,I160,K160,M160,Q160,AB160:AD160)=0,"",IF(OR(A160="",COUNTIFS($A$5:$A$204,A160)&lt;&gt;1),"Lote ausente ou duplicado",IF(OR(B160="",COUNTIFS(Produtos!$A$5:$A$204,B160)&lt;&gt;1),"SKU ausente ou desconhecido",IF(COUNTIFS(Produtos!$A$5:$A$204,B160,Produtos!$R$5:$R$204,1)&gt;0,"Revisar cadastro do produto",IF(OR(NOT(ISNUMBER(E160)),E160&lt;=0,NOT(ISNUMBER(G160)),G160&lt;=0,G160&lt;E160),"Recebimento ou validade inválida",IF(AND(F160&lt;&gt;"",OR(NOT(ISNUMBER(F160)),F160&lt;=0,F160&gt;E160)),"Fabricação inválida ou posterior ao recebimento",IF(OR(NOT(ISNUMBER(K160)),K160&lt;0,NOT(ISNUMBER(I160)),I160&lt;0),"Quantidade recebida ou custo inválido",IF(AND(M160&lt;&gt;"Liberado",M160&lt;&gt;"Quarentena",M160&lt;&gt;"Bloqueado",M160&lt;&gt;"Esgotado"),"Status de lote inválido",""))))))))</x:f>
      </x:c>
      <x:c r="T160" s="163" t="n">
        <x:f>IF(A160="",0,COUNTIFS(Movimentacoes!$D$5:$D$304,A160,Movimentacoes!$P$5:$P$304,1))</x:f>
        <x:v>0</x:v>
      </x:c>
      <x:c r="U160" s="163" t="n">
        <x:f>IF(COUNTA(A160:B160,D160:G160,I160,K160,M160,Q160,AB160:AD160)=0,0,IF(OR(S160&lt;&gt;"",T160&gt;0),1,IF(ISNUMBER(J160),IF(OR(J160&lt;0,AND(J160&gt;0,M160="Esgotado")),1,0),0)))</x:f>
        <x:v>0</x:v>
      </x:c>
      <x:c r="V160" s="163" t="str">
        <x:f>IF(A160="","",IF(OR(U160&gt;0,Listas!$B$13&lt;&gt;"OK"),"n.a.",IF(AND(J160&gt;0,M160="Liberado",G160&gt;=Listas!$B$6),J160,0)))</x:f>
      </x:c>
      <x:c r="W160" s="163" t="str">
        <x:f>IF(A160="","",IF(OR(U160&gt;0,Listas!$B$13&lt;&gt;"OK"),"n.a.",V160*K160))</x:f>
      </x:c>
      <x:c r="X160" s="167" t="n">
        <x:f>IF(COUNTA(A160:B160,D160:G160,I160,K160,M160,Q160,AB160:AD160)=0,0,IF(OR(Listas!$B$19="Todos",B160=Listas!$B$19,COUNTIFS(Produtos!$A$5:$A$204,B160)&lt;&gt;1),1,0))</x:f>
        <x:v>0</x:v>
      </x:c>
      <x:c r="Y160" s="167" t="str">
        <x:f>IF(X160=0,"",IF(Listas!$B$13&lt;&gt;"OK","Revisar parâmetros",IF(U160&gt;0,IF(S160&lt;&gt;"",S160,IF(T160&gt;0,"Revisar movimentos",IF(AND(ISNUMBER(J160),J160&lt;0),"Saldo negativo","Status esgotado com saldo"))),IF(AG160&lt;&gt;"",AG160&amp;". ","")&amp;IF(J160&lt;=0,"",IF(N160="VENCIDO","Validade vencida. ","")&amp;IF(M160="Quarentena","Em quarentena. ","")&amp;IF(M160="Bloqueado","Lote bloqueado. ","")&amp;IF(N160="CRÍTICO","Validade crítica. ","")&amp;IF(N160="VENCE NA JANELA","Vence na janela. ","")))))</x:f>
      </x:c>
      <x:c r="Z160" s="167" t="n">
        <x:f>IF(OR(X160=0,Y160=""),0,IF(OR(Listas!$B$13&lt;&gt;"OK",U160&gt;0,AH160&gt;0),1,IF(N160="VENCIDO",2,IF(OR(M160="Quarentena",M160="Bloqueado"),3,IF(N160="CRÍTICO",4,5)))))</x:f>
        <x:v>0</x:v>
      </x:c>
      <x:c r="AA160" s="167" t="n">
        <x:f>IF(Z160=0,0,COUNTIFS($Z$5:$Z$204,"&gt;0",$Z$5:$Z$204,"&lt;"&amp;Z160,$X$5:$X$204,1)+COUNTIFS($Z$5:Z160,Z160,$X$5:X160,1))</x:f>
        <x:v>0</x:v>
      </x:c>
      <x:c r="AB160" s="168"/>
      <x:c r="AC160" s="168"/>
      <x:c r="AD160" s="169"/>
      <x:c r="AE160" s="167" t="str">
        <x:f>IF(X160=0,"",IF(OR(U160&gt;0,Listas!$B$13&lt;&gt;"OK"),"Dados pendentes",IF(J160&lt;=0,"Sem saldo",IF(N160="VENCIDO","Vencidos",IF(OR(M160="Quarentena",M160="Bloqueado"),"Restritos vigentes",IF(OR(N160="CRÍTICO",N160="VENCE NA JANELA"),"Liberados na janela","Demais liberados"))))))</x:f>
      </x:c>
      <x:c r="AF160" s="167" t="str">
        <x:f>IF(A160&lt;&gt;"",A160,IF(U160&gt;0,"Sem ID (linha "&amp;ROW()&amp;")",""))</x:f>
      </x:c>
      <x:c r="AG160" s="167" t="str">
        <x:f>IF(AD160="","",IF(OR(NOT(ISNUMBER(AD160)),AD160&lt;=0),"Prazo da ação inválido",""))</x:f>
      </x:c>
      <x:c r="AH160" s="167" t="n">
        <x:f>IF(AG160="",0,1)</x:f>
        <x:v>0</x:v>
      </x:c>
    </x:row>
    <x:row r="161" ht="32" customHeight="1">
      <x:c r="A161" s="27"/>
      <x:c r="B161" s="27"/>
      <x:c r="C161" s="40" t="str">
        <x:f>IF($B161="","",IFERROR(INDEX(Produtos!$B$5:$B$204,MATCH($B161,Produtos!$A$5:$A$204,0)),""))</x:f>
      </x:c>
      <x:c r="D161" s="170"/>
      <x:c r="E161" s="179"/>
      <x:c r="F161" s="179"/>
      <x:c r="G161" s="179"/>
      <x:c r="H161" s="40" t="str">
        <x:f>IF(A161="","",IF(OR(S161&lt;&gt;"",Listas!$B$13&lt;&gt;"OK"),"n.a.",G161-Listas!$B$6))</x:f>
      </x:c>
      <x:c r="I161" s="40"/>
      <x:c r="J161" s="40" t="str">
        <x:f>IF(A161="","",IF(OR(S161&lt;&gt;"",T161&gt;0,Listas!$B$13&lt;&gt;"OK"),"n.a.",SUMIFS(Movimentacoes!$H$5:$H$304,Movimentacoes!$D$5:$D$304,A161,Movimentacoes!$B$5:$B$304,"&lt;="&amp;Listas!$B$6)))</x:f>
      </x:c>
      <x:c r="K161" s="180"/>
      <x:c r="L161" s="181" t="str">
        <x:f>IF(A161="","",IF(OR(U161&gt;0,Listas!$B$13&lt;&gt;"OK"),"n.a.",J161*K161))</x:f>
      </x:c>
      <x:c r="M161" s="27"/>
      <x:c r="N161" s="40" t="str">
        <x:f>IF(A161="","",IF(OR(U161&gt;0,Listas!$B$13&lt;&gt;"OK"),"REVISAR DADOS",IF(J161=0,"SEM SALDO",IF(G161&lt;Listas!$B$6,"VENCIDO",IF(H161&lt;=Listas!$B$7,"CRÍTICO",IF(H161&lt;=Listas!$B$8,"VENCE NA JANELA","OK"))))))</x:f>
      </x:c>
      <x:c r="O161" s="41" t="str">
        <x:f>IF(A161="","",IF(AND(ISNUMBER(V161),V161&gt;0),G161,""))</x:f>
      </x:c>
      <x:c r="P161" s="40" t="str">
        <x:f>IF(A161="","",IF(OR(U161&gt;0,Listas!$B$13&lt;&gt;"OK"),"REVISAR DADOS",IF(J161=0,"ARQUIVAR LOTE",IF(M161="Quarentena","DECIDIR LIBERAÇÃO",IF(M161="Bloqueado","SEGREGAR E INVESTIGAR",IF(M161="Esgotado","REVISAR STATUS COM SALDO",IF(N161="VENCIDO","SEGREGAR E AVALIAR DESTINAÇÃO",IF(OR(N161="CRÍTICO",N161="VENCE NA JANELA"),"PRIORIZAR FEFO","MANTER ROTAÇÃO"))))))))</x:f>
      </x:c>
      <x:c r="Q161" s="27"/>
      <x:c r="R161" s="181" t="str">
        <x:f>IF(A161="","",IF(OR(U161&gt;0,Listas!$B$13&lt;&gt;"OK"),"n.a.",IF(OR(N161="VENCIDO",N161="CRÍTICO",N161="VENCE NA JANELA",M161="Quarentena",M161="Bloqueado"),L161,0)))</x:f>
      </x:c>
      <x:c r="S161" s="163" t="str">
        <x:f>IF(COUNTA(A161:B161,D161:G161,I161,K161,M161,Q161,AB161:AD161)=0,"",IF(OR(A161="",COUNTIFS($A$5:$A$204,A161)&lt;&gt;1),"Lote ausente ou duplicado",IF(OR(B161="",COUNTIFS(Produtos!$A$5:$A$204,B161)&lt;&gt;1),"SKU ausente ou desconhecido",IF(COUNTIFS(Produtos!$A$5:$A$204,B161,Produtos!$R$5:$R$204,1)&gt;0,"Revisar cadastro do produto",IF(OR(NOT(ISNUMBER(E161)),E161&lt;=0,NOT(ISNUMBER(G161)),G161&lt;=0,G161&lt;E161),"Recebimento ou validade inválida",IF(AND(F161&lt;&gt;"",OR(NOT(ISNUMBER(F161)),F161&lt;=0,F161&gt;E161)),"Fabricação inválida ou posterior ao recebimento",IF(OR(NOT(ISNUMBER(K161)),K161&lt;0,NOT(ISNUMBER(I161)),I161&lt;0),"Quantidade recebida ou custo inválido",IF(AND(M161&lt;&gt;"Liberado",M161&lt;&gt;"Quarentena",M161&lt;&gt;"Bloqueado",M161&lt;&gt;"Esgotado"),"Status de lote inválido",""))))))))</x:f>
      </x:c>
      <x:c r="T161" s="163" t="n">
        <x:f>IF(A161="",0,COUNTIFS(Movimentacoes!$D$5:$D$304,A161,Movimentacoes!$P$5:$P$304,1))</x:f>
        <x:v>0</x:v>
      </x:c>
      <x:c r="U161" s="163" t="n">
        <x:f>IF(COUNTA(A161:B161,D161:G161,I161,K161,M161,Q161,AB161:AD161)=0,0,IF(OR(S161&lt;&gt;"",T161&gt;0),1,IF(ISNUMBER(J161),IF(OR(J161&lt;0,AND(J161&gt;0,M161="Esgotado")),1,0),0)))</x:f>
        <x:v>0</x:v>
      </x:c>
      <x:c r="V161" s="163" t="str">
        <x:f>IF(A161="","",IF(OR(U161&gt;0,Listas!$B$13&lt;&gt;"OK"),"n.a.",IF(AND(J161&gt;0,M161="Liberado",G161&gt;=Listas!$B$6),J161,0)))</x:f>
      </x:c>
      <x:c r="W161" s="163" t="str">
        <x:f>IF(A161="","",IF(OR(U161&gt;0,Listas!$B$13&lt;&gt;"OK"),"n.a.",V161*K161))</x:f>
      </x:c>
      <x:c r="X161" s="167" t="n">
        <x:f>IF(COUNTA(A161:B161,D161:G161,I161,K161,M161,Q161,AB161:AD161)=0,0,IF(OR(Listas!$B$19="Todos",B161=Listas!$B$19,COUNTIFS(Produtos!$A$5:$A$204,B161)&lt;&gt;1),1,0))</x:f>
        <x:v>0</x:v>
      </x:c>
      <x:c r="Y161" s="167" t="str">
        <x:f>IF(X161=0,"",IF(Listas!$B$13&lt;&gt;"OK","Revisar parâmetros",IF(U161&gt;0,IF(S161&lt;&gt;"",S161,IF(T161&gt;0,"Revisar movimentos",IF(AND(ISNUMBER(J161),J161&lt;0),"Saldo negativo","Status esgotado com saldo"))),IF(AG161&lt;&gt;"",AG161&amp;". ","")&amp;IF(J161&lt;=0,"",IF(N161="VENCIDO","Validade vencida. ","")&amp;IF(M161="Quarentena","Em quarentena. ","")&amp;IF(M161="Bloqueado","Lote bloqueado. ","")&amp;IF(N161="CRÍTICO","Validade crítica. ","")&amp;IF(N161="VENCE NA JANELA","Vence na janela. ","")))))</x:f>
      </x:c>
      <x:c r="Z161" s="167" t="n">
        <x:f>IF(OR(X161=0,Y161=""),0,IF(OR(Listas!$B$13&lt;&gt;"OK",U161&gt;0,AH161&gt;0),1,IF(N161="VENCIDO",2,IF(OR(M161="Quarentena",M161="Bloqueado"),3,IF(N161="CRÍTICO",4,5)))))</x:f>
        <x:v>0</x:v>
      </x:c>
      <x:c r="AA161" s="167" t="n">
        <x:f>IF(Z161=0,0,COUNTIFS($Z$5:$Z$204,"&gt;0",$Z$5:$Z$204,"&lt;"&amp;Z161,$X$5:$X$204,1)+COUNTIFS($Z$5:Z161,Z161,$X$5:X161,1))</x:f>
        <x:v>0</x:v>
      </x:c>
      <x:c r="AB161" s="168"/>
      <x:c r="AC161" s="168"/>
      <x:c r="AD161" s="169"/>
      <x:c r="AE161" s="167" t="str">
        <x:f>IF(X161=0,"",IF(OR(U161&gt;0,Listas!$B$13&lt;&gt;"OK"),"Dados pendentes",IF(J161&lt;=0,"Sem saldo",IF(N161="VENCIDO","Vencidos",IF(OR(M161="Quarentena",M161="Bloqueado"),"Restritos vigentes",IF(OR(N161="CRÍTICO",N161="VENCE NA JANELA"),"Liberados na janela","Demais liberados"))))))</x:f>
      </x:c>
      <x:c r="AF161" s="167" t="str">
        <x:f>IF(A161&lt;&gt;"",A161,IF(U161&gt;0,"Sem ID (linha "&amp;ROW()&amp;")",""))</x:f>
      </x:c>
      <x:c r="AG161" s="167" t="str">
        <x:f>IF(AD161="","",IF(OR(NOT(ISNUMBER(AD161)),AD161&lt;=0),"Prazo da ação inválido",""))</x:f>
      </x:c>
      <x:c r="AH161" s="167" t="n">
        <x:f>IF(AG161="",0,1)</x:f>
        <x:v>0</x:v>
      </x:c>
    </x:row>
    <x:row r="162" ht="32" customHeight="1">
      <x:c r="A162" s="27"/>
      <x:c r="B162" s="27"/>
      <x:c r="C162" s="40" t="str">
        <x:f>IF($B162="","",IFERROR(INDEX(Produtos!$B$5:$B$204,MATCH($B162,Produtos!$A$5:$A$204,0)),""))</x:f>
      </x:c>
      <x:c r="D162" s="170"/>
      <x:c r="E162" s="179"/>
      <x:c r="F162" s="179"/>
      <x:c r="G162" s="179"/>
      <x:c r="H162" s="40" t="str">
        <x:f>IF(A162="","",IF(OR(S162&lt;&gt;"",Listas!$B$13&lt;&gt;"OK"),"n.a.",G162-Listas!$B$6))</x:f>
      </x:c>
      <x:c r="I162" s="40"/>
      <x:c r="J162" s="40" t="str">
        <x:f>IF(A162="","",IF(OR(S162&lt;&gt;"",T162&gt;0,Listas!$B$13&lt;&gt;"OK"),"n.a.",SUMIFS(Movimentacoes!$H$5:$H$304,Movimentacoes!$D$5:$D$304,A162,Movimentacoes!$B$5:$B$304,"&lt;="&amp;Listas!$B$6)))</x:f>
      </x:c>
      <x:c r="K162" s="180"/>
      <x:c r="L162" s="181" t="str">
        <x:f>IF(A162="","",IF(OR(U162&gt;0,Listas!$B$13&lt;&gt;"OK"),"n.a.",J162*K162))</x:f>
      </x:c>
      <x:c r="M162" s="27"/>
      <x:c r="N162" s="40" t="str">
        <x:f>IF(A162="","",IF(OR(U162&gt;0,Listas!$B$13&lt;&gt;"OK"),"REVISAR DADOS",IF(J162=0,"SEM SALDO",IF(G162&lt;Listas!$B$6,"VENCIDO",IF(H162&lt;=Listas!$B$7,"CRÍTICO",IF(H162&lt;=Listas!$B$8,"VENCE NA JANELA","OK"))))))</x:f>
      </x:c>
      <x:c r="O162" s="41" t="str">
        <x:f>IF(A162="","",IF(AND(ISNUMBER(V162),V162&gt;0),G162,""))</x:f>
      </x:c>
      <x:c r="P162" s="40" t="str">
        <x:f>IF(A162="","",IF(OR(U162&gt;0,Listas!$B$13&lt;&gt;"OK"),"REVISAR DADOS",IF(J162=0,"ARQUIVAR LOTE",IF(M162="Quarentena","DECIDIR LIBERAÇÃO",IF(M162="Bloqueado","SEGREGAR E INVESTIGAR",IF(M162="Esgotado","REVISAR STATUS COM SALDO",IF(N162="VENCIDO","SEGREGAR E AVALIAR DESTINAÇÃO",IF(OR(N162="CRÍTICO",N162="VENCE NA JANELA"),"PRIORIZAR FEFO","MANTER ROTAÇÃO"))))))))</x:f>
      </x:c>
      <x:c r="Q162" s="27"/>
      <x:c r="R162" s="181" t="str">
        <x:f>IF(A162="","",IF(OR(U162&gt;0,Listas!$B$13&lt;&gt;"OK"),"n.a.",IF(OR(N162="VENCIDO",N162="CRÍTICO",N162="VENCE NA JANELA",M162="Quarentena",M162="Bloqueado"),L162,0)))</x:f>
      </x:c>
      <x:c r="S162" s="163" t="str">
        <x:f>IF(COUNTA(A162:B162,D162:G162,I162,K162,M162,Q162,AB162:AD162)=0,"",IF(OR(A162="",COUNTIFS($A$5:$A$204,A162)&lt;&gt;1),"Lote ausente ou duplicado",IF(OR(B162="",COUNTIFS(Produtos!$A$5:$A$204,B162)&lt;&gt;1),"SKU ausente ou desconhecido",IF(COUNTIFS(Produtos!$A$5:$A$204,B162,Produtos!$R$5:$R$204,1)&gt;0,"Revisar cadastro do produto",IF(OR(NOT(ISNUMBER(E162)),E162&lt;=0,NOT(ISNUMBER(G162)),G162&lt;=0,G162&lt;E162),"Recebimento ou validade inválida",IF(AND(F162&lt;&gt;"",OR(NOT(ISNUMBER(F162)),F162&lt;=0,F162&gt;E162)),"Fabricação inválida ou posterior ao recebimento",IF(OR(NOT(ISNUMBER(K162)),K162&lt;0,NOT(ISNUMBER(I162)),I162&lt;0),"Quantidade recebida ou custo inválido",IF(AND(M162&lt;&gt;"Liberado",M162&lt;&gt;"Quarentena",M162&lt;&gt;"Bloqueado",M162&lt;&gt;"Esgotado"),"Status de lote inválido",""))))))))</x:f>
      </x:c>
      <x:c r="T162" s="163" t="n">
        <x:f>IF(A162="",0,COUNTIFS(Movimentacoes!$D$5:$D$304,A162,Movimentacoes!$P$5:$P$304,1))</x:f>
        <x:v>0</x:v>
      </x:c>
      <x:c r="U162" s="163" t="n">
        <x:f>IF(COUNTA(A162:B162,D162:G162,I162,K162,M162,Q162,AB162:AD162)=0,0,IF(OR(S162&lt;&gt;"",T162&gt;0),1,IF(ISNUMBER(J162),IF(OR(J162&lt;0,AND(J162&gt;0,M162="Esgotado")),1,0),0)))</x:f>
        <x:v>0</x:v>
      </x:c>
      <x:c r="V162" s="163" t="str">
        <x:f>IF(A162="","",IF(OR(U162&gt;0,Listas!$B$13&lt;&gt;"OK"),"n.a.",IF(AND(J162&gt;0,M162="Liberado",G162&gt;=Listas!$B$6),J162,0)))</x:f>
      </x:c>
      <x:c r="W162" s="163" t="str">
        <x:f>IF(A162="","",IF(OR(U162&gt;0,Listas!$B$13&lt;&gt;"OK"),"n.a.",V162*K162))</x:f>
      </x:c>
      <x:c r="X162" s="167" t="n">
        <x:f>IF(COUNTA(A162:B162,D162:G162,I162,K162,M162,Q162,AB162:AD162)=0,0,IF(OR(Listas!$B$19="Todos",B162=Listas!$B$19,COUNTIFS(Produtos!$A$5:$A$204,B162)&lt;&gt;1),1,0))</x:f>
        <x:v>0</x:v>
      </x:c>
      <x:c r="Y162" s="167" t="str">
        <x:f>IF(X162=0,"",IF(Listas!$B$13&lt;&gt;"OK","Revisar parâmetros",IF(U162&gt;0,IF(S162&lt;&gt;"",S162,IF(T162&gt;0,"Revisar movimentos",IF(AND(ISNUMBER(J162),J162&lt;0),"Saldo negativo","Status esgotado com saldo"))),IF(AG162&lt;&gt;"",AG162&amp;". ","")&amp;IF(J162&lt;=0,"",IF(N162="VENCIDO","Validade vencida. ","")&amp;IF(M162="Quarentena","Em quarentena. ","")&amp;IF(M162="Bloqueado","Lote bloqueado. ","")&amp;IF(N162="CRÍTICO","Validade crítica. ","")&amp;IF(N162="VENCE NA JANELA","Vence na janela. ","")))))</x:f>
      </x:c>
      <x:c r="Z162" s="167" t="n">
        <x:f>IF(OR(X162=0,Y162=""),0,IF(OR(Listas!$B$13&lt;&gt;"OK",U162&gt;0,AH162&gt;0),1,IF(N162="VENCIDO",2,IF(OR(M162="Quarentena",M162="Bloqueado"),3,IF(N162="CRÍTICO",4,5)))))</x:f>
        <x:v>0</x:v>
      </x:c>
      <x:c r="AA162" s="167" t="n">
        <x:f>IF(Z162=0,0,COUNTIFS($Z$5:$Z$204,"&gt;0",$Z$5:$Z$204,"&lt;"&amp;Z162,$X$5:$X$204,1)+COUNTIFS($Z$5:Z162,Z162,$X$5:X162,1))</x:f>
        <x:v>0</x:v>
      </x:c>
      <x:c r="AB162" s="168"/>
      <x:c r="AC162" s="168"/>
      <x:c r="AD162" s="169"/>
      <x:c r="AE162" s="167" t="str">
        <x:f>IF(X162=0,"",IF(OR(U162&gt;0,Listas!$B$13&lt;&gt;"OK"),"Dados pendentes",IF(J162&lt;=0,"Sem saldo",IF(N162="VENCIDO","Vencidos",IF(OR(M162="Quarentena",M162="Bloqueado"),"Restritos vigentes",IF(OR(N162="CRÍTICO",N162="VENCE NA JANELA"),"Liberados na janela","Demais liberados"))))))</x:f>
      </x:c>
      <x:c r="AF162" s="167" t="str">
        <x:f>IF(A162&lt;&gt;"",A162,IF(U162&gt;0,"Sem ID (linha "&amp;ROW()&amp;")",""))</x:f>
      </x:c>
      <x:c r="AG162" s="167" t="str">
        <x:f>IF(AD162="","",IF(OR(NOT(ISNUMBER(AD162)),AD162&lt;=0),"Prazo da ação inválido",""))</x:f>
      </x:c>
      <x:c r="AH162" s="167" t="n">
        <x:f>IF(AG162="",0,1)</x:f>
        <x:v>0</x:v>
      </x:c>
    </x:row>
    <x:row r="163" ht="32" customHeight="1">
      <x:c r="A163" s="27"/>
      <x:c r="B163" s="27"/>
      <x:c r="C163" s="40" t="str">
        <x:f>IF($B163="","",IFERROR(INDEX(Produtos!$B$5:$B$204,MATCH($B163,Produtos!$A$5:$A$204,0)),""))</x:f>
      </x:c>
      <x:c r="D163" s="170"/>
      <x:c r="E163" s="179"/>
      <x:c r="F163" s="179"/>
      <x:c r="G163" s="179"/>
      <x:c r="H163" s="40" t="str">
        <x:f>IF(A163="","",IF(OR(S163&lt;&gt;"",Listas!$B$13&lt;&gt;"OK"),"n.a.",G163-Listas!$B$6))</x:f>
      </x:c>
      <x:c r="I163" s="40"/>
      <x:c r="J163" s="40" t="str">
        <x:f>IF(A163="","",IF(OR(S163&lt;&gt;"",T163&gt;0,Listas!$B$13&lt;&gt;"OK"),"n.a.",SUMIFS(Movimentacoes!$H$5:$H$304,Movimentacoes!$D$5:$D$304,A163,Movimentacoes!$B$5:$B$304,"&lt;="&amp;Listas!$B$6)))</x:f>
      </x:c>
      <x:c r="K163" s="180"/>
      <x:c r="L163" s="181" t="str">
        <x:f>IF(A163="","",IF(OR(U163&gt;0,Listas!$B$13&lt;&gt;"OK"),"n.a.",J163*K163))</x:f>
      </x:c>
      <x:c r="M163" s="27"/>
      <x:c r="N163" s="40" t="str">
        <x:f>IF(A163="","",IF(OR(U163&gt;0,Listas!$B$13&lt;&gt;"OK"),"REVISAR DADOS",IF(J163=0,"SEM SALDO",IF(G163&lt;Listas!$B$6,"VENCIDO",IF(H163&lt;=Listas!$B$7,"CRÍTICO",IF(H163&lt;=Listas!$B$8,"VENCE NA JANELA","OK"))))))</x:f>
      </x:c>
      <x:c r="O163" s="41" t="str">
        <x:f>IF(A163="","",IF(AND(ISNUMBER(V163),V163&gt;0),G163,""))</x:f>
      </x:c>
      <x:c r="P163" s="40" t="str">
        <x:f>IF(A163="","",IF(OR(U163&gt;0,Listas!$B$13&lt;&gt;"OK"),"REVISAR DADOS",IF(J163=0,"ARQUIVAR LOTE",IF(M163="Quarentena","DECIDIR LIBERAÇÃO",IF(M163="Bloqueado","SEGREGAR E INVESTIGAR",IF(M163="Esgotado","REVISAR STATUS COM SALDO",IF(N163="VENCIDO","SEGREGAR E AVALIAR DESTINAÇÃO",IF(OR(N163="CRÍTICO",N163="VENCE NA JANELA"),"PRIORIZAR FEFO","MANTER ROTAÇÃO"))))))))</x:f>
      </x:c>
      <x:c r="Q163" s="27"/>
      <x:c r="R163" s="181" t="str">
        <x:f>IF(A163="","",IF(OR(U163&gt;0,Listas!$B$13&lt;&gt;"OK"),"n.a.",IF(OR(N163="VENCIDO",N163="CRÍTICO",N163="VENCE NA JANELA",M163="Quarentena",M163="Bloqueado"),L163,0)))</x:f>
      </x:c>
      <x:c r="S163" s="163" t="str">
        <x:f>IF(COUNTA(A163:B163,D163:G163,I163,K163,M163,Q163,AB163:AD163)=0,"",IF(OR(A163="",COUNTIFS($A$5:$A$204,A163)&lt;&gt;1),"Lote ausente ou duplicado",IF(OR(B163="",COUNTIFS(Produtos!$A$5:$A$204,B163)&lt;&gt;1),"SKU ausente ou desconhecido",IF(COUNTIFS(Produtos!$A$5:$A$204,B163,Produtos!$R$5:$R$204,1)&gt;0,"Revisar cadastro do produto",IF(OR(NOT(ISNUMBER(E163)),E163&lt;=0,NOT(ISNUMBER(G163)),G163&lt;=0,G163&lt;E163),"Recebimento ou validade inválida",IF(AND(F163&lt;&gt;"",OR(NOT(ISNUMBER(F163)),F163&lt;=0,F163&gt;E163)),"Fabricação inválida ou posterior ao recebimento",IF(OR(NOT(ISNUMBER(K163)),K163&lt;0,NOT(ISNUMBER(I163)),I163&lt;0),"Quantidade recebida ou custo inválido",IF(AND(M163&lt;&gt;"Liberado",M163&lt;&gt;"Quarentena",M163&lt;&gt;"Bloqueado",M163&lt;&gt;"Esgotado"),"Status de lote inválido",""))))))))</x:f>
      </x:c>
      <x:c r="T163" s="163" t="n">
        <x:f>IF(A163="",0,COUNTIFS(Movimentacoes!$D$5:$D$304,A163,Movimentacoes!$P$5:$P$304,1))</x:f>
        <x:v>0</x:v>
      </x:c>
      <x:c r="U163" s="163" t="n">
        <x:f>IF(COUNTA(A163:B163,D163:G163,I163,K163,M163,Q163,AB163:AD163)=0,0,IF(OR(S163&lt;&gt;"",T163&gt;0),1,IF(ISNUMBER(J163),IF(OR(J163&lt;0,AND(J163&gt;0,M163="Esgotado")),1,0),0)))</x:f>
        <x:v>0</x:v>
      </x:c>
      <x:c r="V163" s="163" t="str">
        <x:f>IF(A163="","",IF(OR(U163&gt;0,Listas!$B$13&lt;&gt;"OK"),"n.a.",IF(AND(J163&gt;0,M163="Liberado",G163&gt;=Listas!$B$6),J163,0)))</x:f>
      </x:c>
      <x:c r="W163" s="163" t="str">
        <x:f>IF(A163="","",IF(OR(U163&gt;0,Listas!$B$13&lt;&gt;"OK"),"n.a.",V163*K163))</x:f>
      </x:c>
      <x:c r="X163" s="167" t="n">
        <x:f>IF(COUNTA(A163:B163,D163:G163,I163,K163,M163,Q163,AB163:AD163)=0,0,IF(OR(Listas!$B$19="Todos",B163=Listas!$B$19,COUNTIFS(Produtos!$A$5:$A$204,B163)&lt;&gt;1),1,0))</x:f>
        <x:v>0</x:v>
      </x:c>
      <x:c r="Y163" s="167" t="str">
        <x:f>IF(X163=0,"",IF(Listas!$B$13&lt;&gt;"OK","Revisar parâmetros",IF(U163&gt;0,IF(S163&lt;&gt;"",S163,IF(T163&gt;0,"Revisar movimentos",IF(AND(ISNUMBER(J163),J163&lt;0),"Saldo negativo","Status esgotado com saldo"))),IF(AG163&lt;&gt;"",AG163&amp;". ","")&amp;IF(J163&lt;=0,"",IF(N163="VENCIDO","Validade vencida. ","")&amp;IF(M163="Quarentena","Em quarentena. ","")&amp;IF(M163="Bloqueado","Lote bloqueado. ","")&amp;IF(N163="CRÍTICO","Validade crítica. ","")&amp;IF(N163="VENCE NA JANELA","Vence na janela. ","")))))</x:f>
      </x:c>
      <x:c r="Z163" s="167" t="n">
        <x:f>IF(OR(X163=0,Y163=""),0,IF(OR(Listas!$B$13&lt;&gt;"OK",U163&gt;0,AH163&gt;0),1,IF(N163="VENCIDO",2,IF(OR(M163="Quarentena",M163="Bloqueado"),3,IF(N163="CRÍTICO",4,5)))))</x:f>
        <x:v>0</x:v>
      </x:c>
      <x:c r="AA163" s="167" t="n">
        <x:f>IF(Z163=0,0,COUNTIFS($Z$5:$Z$204,"&gt;0",$Z$5:$Z$204,"&lt;"&amp;Z163,$X$5:$X$204,1)+COUNTIFS($Z$5:Z163,Z163,$X$5:X163,1))</x:f>
        <x:v>0</x:v>
      </x:c>
      <x:c r="AB163" s="168"/>
      <x:c r="AC163" s="168"/>
      <x:c r="AD163" s="169"/>
      <x:c r="AE163" s="167" t="str">
        <x:f>IF(X163=0,"",IF(OR(U163&gt;0,Listas!$B$13&lt;&gt;"OK"),"Dados pendentes",IF(J163&lt;=0,"Sem saldo",IF(N163="VENCIDO","Vencidos",IF(OR(M163="Quarentena",M163="Bloqueado"),"Restritos vigentes",IF(OR(N163="CRÍTICO",N163="VENCE NA JANELA"),"Liberados na janela","Demais liberados"))))))</x:f>
      </x:c>
      <x:c r="AF163" s="167" t="str">
        <x:f>IF(A163&lt;&gt;"",A163,IF(U163&gt;0,"Sem ID (linha "&amp;ROW()&amp;")",""))</x:f>
      </x:c>
      <x:c r="AG163" s="167" t="str">
        <x:f>IF(AD163="","",IF(OR(NOT(ISNUMBER(AD163)),AD163&lt;=0),"Prazo da ação inválido",""))</x:f>
      </x:c>
      <x:c r="AH163" s="167" t="n">
        <x:f>IF(AG163="",0,1)</x:f>
        <x:v>0</x:v>
      </x:c>
    </x:row>
    <x:row r="164" ht="32" customHeight="1">
      <x:c r="A164" s="27"/>
      <x:c r="B164" s="27"/>
      <x:c r="C164" s="40" t="str">
        <x:f>IF($B164="","",IFERROR(INDEX(Produtos!$B$5:$B$204,MATCH($B164,Produtos!$A$5:$A$204,0)),""))</x:f>
      </x:c>
      <x:c r="D164" s="170"/>
      <x:c r="E164" s="179"/>
      <x:c r="F164" s="179"/>
      <x:c r="G164" s="179"/>
      <x:c r="H164" s="40" t="str">
        <x:f>IF(A164="","",IF(OR(S164&lt;&gt;"",Listas!$B$13&lt;&gt;"OK"),"n.a.",G164-Listas!$B$6))</x:f>
      </x:c>
      <x:c r="I164" s="40"/>
      <x:c r="J164" s="40" t="str">
        <x:f>IF(A164="","",IF(OR(S164&lt;&gt;"",T164&gt;0,Listas!$B$13&lt;&gt;"OK"),"n.a.",SUMIFS(Movimentacoes!$H$5:$H$304,Movimentacoes!$D$5:$D$304,A164,Movimentacoes!$B$5:$B$304,"&lt;="&amp;Listas!$B$6)))</x:f>
      </x:c>
      <x:c r="K164" s="180"/>
      <x:c r="L164" s="181" t="str">
        <x:f>IF(A164="","",IF(OR(U164&gt;0,Listas!$B$13&lt;&gt;"OK"),"n.a.",J164*K164))</x:f>
      </x:c>
      <x:c r="M164" s="27"/>
      <x:c r="N164" s="40" t="str">
        <x:f>IF(A164="","",IF(OR(U164&gt;0,Listas!$B$13&lt;&gt;"OK"),"REVISAR DADOS",IF(J164=0,"SEM SALDO",IF(G164&lt;Listas!$B$6,"VENCIDO",IF(H164&lt;=Listas!$B$7,"CRÍTICO",IF(H164&lt;=Listas!$B$8,"VENCE NA JANELA","OK"))))))</x:f>
      </x:c>
      <x:c r="O164" s="41" t="str">
        <x:f>IF(A164="","",IF(AND(ISNUMBER(V164),V164&gt;0),G164,""))</x:f>
      </x:c>
      <x:c r="P164" s="40" t="str">
        <x:f>IF(A164="","",IF(OR(U164&gt;0,Listas!$B$13&lt;&gt;"OK"),"REVISAR DADOS",IF(J164=0,"ARQUIVAR LOTE",IF(M164="Quarentena","DECIDIR LIBERAÇÃO",IF(M164="Bloqueado","SEGREGAR E INVESTIGAR",IF(M164="Esgotado","REVISAR STATUS COM SALDO",IF(N164="VENCIDO","SEGREGAR E AVALIAR DESTINAÇÃO",IF(OR(N164="CRÍTICO",N164="VENCE NA JANELA"),"PRIORIZAR FEFO","MANTER ROTAÇÃO"))))))))</x:f>
      </x:c>
      <x:c r="Q164" s="27"/>
      <x:c r="R164" s="181" t="str">
        <x:f>IF(A164="","",IF(OR(U164&gt;0,Listas!$B$13&lt;&gt;"OK"),"n.a.",IF(OR(N164="VENCIDO",N164="CRÍTICO",N164="VENCE NA JANELA",M164="Quarentena",M164="Bloqueado"),L164,0)))</x:f>
      </x:c>
      <x:c r="S164" s="163" t="str">
        <x:f>IF(COUNTA(A164:B164,D164:G164,I164,K164,M164,Q164,AB164:AD164)=0,"",IF(OR(A164="",COUNTIFS($A$5:$A$204,A164)&lt;&gt;1),"Lote ausente ou duplicado",IF(OR(B164="",COUNTIFS(Produtos!$A$5:$A$204,B164)&lt;&gt;1),"SKU ausente ou desconhecido",IF(COUNTIFS(Produtos!$A$5:$A$204,B164,Produtos!$R$5:$R$204,1)&gt;0,"Revisar cadastro do produto",IF(OR(NOT(ISNUMBER(E164)),E164&lt;=0,NOT(ISNUMBER(G164)),G164&lt;=0,G164&lt;E164),"Recebimento ou validade inválida",IF(AND(F164&lt;&gt;"",OR(NOT(ISNUMBER(F164)),F164&lt;=0,F164&gt;E164)),"Fabricação inválida ou posterior ao recebimento",IF(OR(NOT(ISNUMBER(K164)),K164&lt;0,NOT(ISNUMBER(I164)),I164&lt;0),"Quantidade recebida ou custo inválido",IF(AND(M164&lt;&gt;"Liberado",M164&lt;&gt;"Quarentena",M164&lt;&gt;"Bloqueado",M164&lt;&gt;"Esgotado"),"Status de lote inválido",""))))))))</x:f>
      </x:c>
      <x:c r="T164" s="163" t="n">
        <x:f>IF(A164="",0,COUNTIFS(Movimentacoes!$D$5:$D$304,A164,Movimentacoes!$P$5:$P$304,1))</x:f>
        <x:v>0</x:v>
      </x:c>
      <x:c r="U164" s="163" t="n">
        <x:f>IF(COUNTA(A164:B164,D164:G164,I164,K164,M164,Q164,AB164:AD164)=0,0,IF(OR(S164&lt;&gt;"",T164&gt;0),1,IF(ISNUMBER(J164),IF(OR(J164&lt;0,AND(J164&gt;0,M164="Esgotado")),1,0),0)))</x:f>
        <x:v>0</x:v>
      </x:c>
      <x:c r="V164" s="163" t="str">
        <x:f>IF(A164="","",IF(OR(U164&gt;0,Listas!$B$13&lt;&gt;"OK"),"n.a.",IF(AND(J164&gt;0,M164="Liberado",G164&gt;=Listas!$B$6),J164,0)))</x:f>
      </x:c>
      <x:c r="W164" s="163" t="str">
        <x:f>IF(A164="","",IF(OR(U164&gt;0,Listas!$B$13&lt;&gt;"OK"),"n.a.",V164*K164))</x:f>
      </x:c>
      <x:c r="X164" s="167" t="n">
        <x:f>IF(COUNTA(A164:B164,D164:G164,I164,K164,M164,Q164,AB164:AD164)=0,0,IF(OR(Listas!$B$19="Todos",B164=Listas!$B$19,COUNTIFS(Produtos!$A$5:$A$204,B164)&lt;&gt;1),1,0))</x:f>
        <x:v>0</x:v>
      </x:c>
      <x:c r="Y164" s="167" t="str">
        <x:f>IF(X164=0,"",IF(Listas!$B$13&lt;&gt;"OK","Revisar parâmetros",IF(U164&gt;0,IF(S164&lt;&gt;"",S164,IF(T164&gt;0,"Revisar movimentos",IF(AND(ISNUMBER(J164),J164&lt;0),"Saldo negativo","Status esgotado com saldo"))),IF(AG164&lt;&gt;"",AG164&amp;". ","")&amp;IF(J164&lt;=0,"",IF(N164="VENCIDO","Validade vencida. ","")&amp;IF(M164="Quarentena","Em quarentena. ","")&amp;IF(M164="Bloqueado","Lote bloqueado. ","")&amp;IF(N164="CRÍTICO","Validade crítica. ","")&amp;IF(N164="VENCE NA JANELA","Vence na janela. ","")))))</x:f>
      </x:c>
      <x:c r="Z164" s="167" t="n">
        <x:f>IF(OR(X164=0,Y164=""),0,IF(OR(Listas!$B$13&lt;&gt;"OK",U164&gt;0,AH164&gt;0),1,IF(N164="VENCIDO",2,IF(OR(M164="Quarentena",M164="Bloqueado"),3,IF(N164="CRÍTICO",4,5)))))</x:f>
        <x:v>0</x:v>
      </x:c>
      <x:c r="AA164" s="167" t="n">
        <x:f>IF(Z164=0,0,COUNTIFS($Z$5:$Z$204,"&gt;0",$Z$5:$Z$204,"&lt;"&amp;Z164,$X$5:$X$204,1)+COUNTIFS($Z$5:Z164,Z164,$X$5:X164,1))</x:f>
        <x:v>0</x:v>
      </x:c>
      <x:c r="AB164" s="168"/>
      <x:c r="AC164" s="168"/>
      <x:c r="AD164" s="169"/>
      <x:c r="AE164" s="167" t="str">
        <x:f>IF(X164=0,"",IF(OR(U164&gt;0,Listas!$B$13&lt;&gt;"OK"),"Dados pendentes",IF(J164&lt;=0,"Sem saldo",IF(N164="VENCIDO","Vencidos",IF(OR(M164="Quarentena",M164="Bloqueado"),"Restritos vigentes",IF(OR(N164="CRÍTICO",N164="VENCE NA JANELA"),"Liberados na janela","Demais liberados"))))))</x:f>
      </x:c>
      <x:c r="AF164" s="167" t="str">
        <x:f>IF(A164&lt;&gt;"",A164,IF(U164&gt;0,"Sem ID (linha "&amp;ROW()&amp;")",""))</x:f>
      </x:c>
      <x:c r="AG164" s="167" t="str">
        <x:f>IF(AD164="","",IF(OR(NOT(ISNUMBER(AD164)),AD164&lt;=0),"Prazo da ação inválido",""))</x:f>
      </x:c>
      <x:c r="AH164" s="167" t="n">
        <x:f>IF(AG164="",0,1)</x:f>
        <x:v>0</x:v>
      </x:c>
    </x:row>
    <x:row r="165" ht="32" customHeight="1">
      <x:c r="A165" s="27"/>
      <x:c r="B165" s="27"/>
      <x:c r="C165" s="40" t="str">
        <x:f>IF($B165="","",IFERROR(INDEX(Produtos!$B$5:$B$204,MATCH($B165,Produtos!$A$5:$A$204,0)),""))</x:f>
      </x:c>
      <x:c r="D165" s="170"/>
      <x:c r="E165" s="179"/>
      <x:c r="F165" s="179"/>
      <x:c r="G165" s="179"/>
      <x:c r="H165" s="40" t="str">
        <x:f>IF(A165="","",IF(OR(S165&lt;&gt;"",Listas!$B$13&lt;&gt;"OK"),"n.a.",G165-Listas!$B$6))</x:f>
      </x:c>
      <x:c r="I165" s="40"/>
      <x:c r="J165" s="40" t="str">
        <x:f>IF(A165="","",IF(OR(S165&lt;&gt;"",T165&gt;0,Listas!$B$13&lt;&gt;"OK"),"n.a.",SUMIFS(Movimentacoes!$H$5:$H$304,Movimentacoes!$D$5:$D$304,A165,Movimentacoes!$B$5:$B$304,"&lt;="&amp;Listas!$B$6)))</x:f>
      </x:c>
      <x:c r="K165" s="180"/>
      <x:c r="L165" s="181" t="str">
        <x:f>IF(A165="","",IF(OR(U165&gt;0,Listas!$B$13&lt;&gt;"OK"),"n.a.",J165*K165))</x:f>
      </x:c>
      <x:c r="M165" s="27"/>
      <x:c r="N165" s="40" t="str">
        <x:f>IF(A165="","",IF(OR(U165&gt;0,Listas!$B$13&lt;&gt;"OK"),"REVISAR DADOS",IF(J165=0,"SEM SALDO",IF(G165&lt;Listas!$B$6,"VENCIDO",IF(H165&lt;=Listas!$B$7,"CRÍTICO",IF(H165&lt;=Listas!$B$8,"VENCE NA JANELA","OK"))))))</x:f>
      </x:c>
      <x:c r="O165" s="41" t="str">
        <x:f>IF(A165="","",IF(AND(ISNUMBER(V165),V165&gt;0),G165,""))</x:f>
      </x:c>
      <x:c r="P165" s="40" t="str">
        <x:f>IF(A165="","",IF(OR(U165&gt;0,Listas!$B$13&lt;&gt;"OK"),"REVISAR DADOS",IF(J165=0,"ARQUIVAR LOTE",IF(M165="Quarentena","DECIDIR LIBERAÇÃO",IF(M165="Bloqueado","SEGREGAR E INVESTIGAR",IF(M165="Esgotado","REVISAR STATUS COM SALDO",IF(N165="VENCIDO","SEGREGAR E AVALIAR DESTINAÇÃO",IF(OR(N165="CRÍTICO",N165="VENCE NA JANELA"),"PRIORIZAR FEFO","MANTER ROTAÇÃO"))))))))</x:f>
      </x:c>
      <x:c r="Q165" s="27"/>
      <x:c r="R165" s="181" t="str">
        <x:f>IF(A165="","",IF(OR(U165&gt;0,Listas!$B$13&lt;&gt;"OK"),"n.a.",IF(OR(N165="VENCIDO",N165="CRÍTICO",N165="VENCE NA JANELA",M165="Quarentena",M165="Bloqueado"),L165,0)))</x:f>
      </x:c>
      <x:c r="S165" s="163" t="str">
        <x:f>IF(COUNTA(A165:B165,D165:G165,I165,K165,M165,Q165,AB165:AD165)=0,"",IF(OR(A165="",COUNTIFS($A$5:$A$204,A165)&lt;&gt;1),"Lote ausente ou duplicado",IF(OR(B165="",COUNTIFS(Produtos!$A$5:$A$204,B165)&lt;&gt;1),"SKU ausente ou desconhecido",IF(COUNTIFS(Produtos!$A$5:$A$204,B165,Produtos!$R$5:$R$204,1)&gt;0,"Revisar cadastro do produto",IF(OR(NOT(ISNUMBER(E165)),E165&lt;=0,NOT(ISNUMBER(G165)),G165&lt;=0,G165&lt;E165),"Recebimento ou validade inválida",IF(AND(F165&lt;&gt;"",OR(NOT(ISNUMBER(F165)),F165&lt;=0,F165&gt;E165)),"Fabricação inválida ou posterior ao recebimento",IF(OR(NOT(ISNUMBER(K165)),K165&lt;0,NOT(ISNUMBER(I165)),I165&lt;0),"Quantidade recebida ou custo inválido",IF(AND(M165&lt;&gt;"Liberado",M165&lt;&gt;"Quarentena",M165&lt;&gt;"Bloqueado",M165&lt;&gt;"Esgotado"),"Status de lote inválido",""))))))))</x:f>
      </x:c>
      <x:c r="T165" s="163" t="n">
        <x:f>IF(A165="",0,COUNTIFS(Movimentacoes!$D$5:$D$304,A165,Movimentacoes!$P$5:$P$304,1))</x:f>
        <x:v>0</x:v>
      </x:c>
      <x:c r="U165" s="163" t="n">
        <x:f>IF(COUNTA(A165:B165,D165:G165,I165,K165,M165,Q165,AB165:AD165)=0,0,IF(OR(S165&lt;&gt;"",T165&gt;0),1,IF(ISNUMBER(J165),IF(OR(J165&lt;0,AND(J165&gt;0,M165="Esgotado")),1,0),0)))</x:f>
        <x:v>0</x:v>
      </x:c>
      <x:c r="V165" s="163" t="str">
        <x:f>IF(A165="","",IF(OR(U165&gt;0,Listas!$B$13&lt;&gt;"OK"),"n.a.",IF(AND(J165&gt;0,M165="Liberado",G165&gt;=Listas!$B$6),J165,0)))</x:f>
      </x:c>
      <x:c r="W165" s="163" t="str">
        <x:f>IF(A165="","",IF(OR(U165&gt;0,Listas!$B$13&lt;&gt;"OK"),"n.a.",V165*K165))</x:f>
      </x:c>
      <x:c r="X165" s="167" t="n">
        <x:f>IF(COUNTA(A165:B165,D165:G165,I165,K165,M165,Q165,AB165:AD165)=0,0,IF(OR(Listas!$B$19="Todos",B165=Listas!$B$19,COUNTIFS(Produtos!$A$5:$A$204,B165)&lt;&gt;1),1,0))</x:f>
        <x:v>0</x:v>
      </x:c>
      <x:c r="Y165" s="167" t="str">
        <x:f>IF(X165=0,"",IF(Listas!$B$13&lt;&gt;"OK","Revisar parâmetros",IF(U165&gt;0,IF(S165&lt;&gt;"",S165,IF(T165&gt;0,"Revisar movimentos",IF(AND(ISNUMBER(J165),J165&lt;0),"Saldo negativo","Status esgotado com saldo"))),IF(AG165&lt;&gt;"",AG165&amp;". ","")&amp;IF(J165&lt;=0,"",IF(N165="VENCIDO","Validade vencida. ","")&amp;IF(M165="Quarentena","Em quarentena. ","")&amp;IF(M165="Bloqueado","Lote bloqueado. ","")&amp;IF(N165="CRÍTICO","Validade crítica. ","")&amp;IF(N165="VENCE NA JANELA","Vence na janela. ","")))))</x:f>
      </x:c>
      <x:c r="Z165" s="167" t="n">
        <x:f>IF(OR(X165=0,Y165=""),0,IF(OR(Listas!$B$13&lt;&gt;"OK",U165&gt;0,AH165&gt;0),1,IF(N165="VENCIDO",2,IF(OR(M165="Quarentena",M165="Bloqueado"),3,IF(N165="CRÍTICO",4,5)))))</x:f>
        <x:v>0</x:v>
      </x:c>
      <x:c r="AA165" s="167" t="n">
        <x:f>IF(Z165=0,0,COUNTIFS($Z$5:$Z$204,"&gt;0",$Z$5:$Z$204,"&lt;"&amp;Z165,$X$5:$X$204,1)+COUNTIFS($Z$5:Z165,Z165,$X$5:X165,1))</x:f>
        <x:v>0</x:v>
      </x:c>
      <x:c r="AB165" s="168"/>
      <x:c r="AC165" s="168"/>
      <x:c r="AD165" s="169"/>
      <x:c r="AE165" s="167" t="str">
        <x:f>IF(X165=0,"",IF(OR(U165&gt;0,Listas!$B$13&lt;&gt;"OK"),"Dados pendentes",IF(J165&lt;=0,"Sem saldo",IF(N165="VENCIDO","Vencidos",IF(OR(M165="Quarentena",M165="Bloqueado"),"Restritos vigentes",IF(OR(N165="CRÍTICO",N165="VENCE NA JANELA"),"Liberados na janela","Demais liberados"))))))</x:f>
      </x:c>
      <x:c r="AF165" s="167" t="str">
        <x:f>IF(A165&lt;&gt;"",A165,IF(U165&gt;0,"Sem ID (linha "&amp;ROW()&amp;")",""))</x:f>
      </x:c>
      <x:c r="AG165" s="167" t="str">
        <x:f>IF(AD165="","",IF(OR(NOT(ISNUMBER(AD165)),AD165&lt;=0),"Prazo da ação inválido",""))</x:f>
      </x:c>
      <x:c r="AH165" s="167" t="n">
        <x:f>IF(AG165="",0,1)</x:f>
        <x:v>0</x:v>
      </x:c>
    </x:row>
    <x:row r="166" ht="32" customHeight="1">
      <x:c r="A166" s="27"/>
      <x:c r="B166" s="27"/>
      <x:c r="C166" s="40" t="str">
        <x:f>IF($B166="","",IFERROR(INDEX(Produtos!$B$5:$B$204,MATCH($B166,Produtos!$A$5:$A$204,0)),""))</x:f>
      </x:c>
      <x:c r="D166" s="170"/>
      <x:c r="E166" s="179"/>
      <x:c r="F166" s="179"/>
      <x:c r="G166" s="179"/>
      <x:c r="H166" s="40" t="str">
        <x:f>IF(A166="","",IF(OR(S166&lt;&gt;"",Listas!$B$13&lt;&gt;"OK"),"n.a.",G166-Listas!$B$6))</x:f>
      </x:c>
      <x:c r="I166" s="40"/>
      <x:c r="J166" s="40" t="str">
        <x:f>IF(A166="","",IF(OR(S166&lt;&gt;"",T166&gt;0,Listas!$B$13&lt;&gt;"OK"),"n.a.",SUMIFS(Movimentacoes!$H$5:$H$304,Movimentacoes!$D$5:$D$304,A166,Movimentacoes!$B$5:$B$304,"&lt;="&amp;Listas!$B$6)))</x:f>
      </x:c>
      <x:c r="K166" s="180"/>
      <x:c r="L166" s="181" t="str">
        <x:f>IF(A166="","",IF(OR(U166&gt;0,Listas!$B$13&lt;&gt;"OK"),"n.a.",J166*K166))</x:f>
      </x:c>
      <x:c r="M166" s="27"/>
      <x:c r="N166" s="40" t="str">
        <x:f>IF(A166="","",IF(OR(U166&gt;0,Listas!$B$13&lt;&gt;"OK"),"REVISAR DADOS",IF(J166=0,"SEM SALDO",IF(G166&lt;Listas!$B$6,"VENCIDO",IF(H166&lt;=Listas!$B$7,"CRÍTICO",IF(H166&lt;=Listas!$B$8,"VENCE NA JANELA","OK"))))))</x:f>
      </x:c>
      <x:c r="O166" s="41" t="str">
        <x:f>IF(A166="","",IF(AND(ISNUMBER(V166),V166&gt;0),G166,""))</x:f>
      </x:c>
      <x:c r="P166" s="40" t="str">
        <x:f>IF(A166="","",IF(OR(U166&gt;0,Listas!$B$13&lt;&gt;"OK"),"REVISAR DADOS",IF(J166=0,"ARQUIVAR LOTE",IF(M166="Quarentena","DECIDIR LIBERAÇÃO",IF(M166="Bloqueado","SEGREGAR E INVESTIGAR",IF(M166="Esgotado","REVISAR STATUS COM SALDO",IF(N166="VENCIDO","SEGREGAR E AVALIAR DESTINAÇÃO",IF(OR(N166="CRÍTICO",N166="VENCE NA JANELA"),"PRIORIZAR FEFO","MANTER ROTAÇÃO"))))))))</x:f>
      </x:c>
      <x:c r="Q166" s="27"/>
      <x:c r="R166" s="181" t="str">
        <x:f>IF(A166="","",IF(OR(U166&gt;0,Listas!$B$13&lt;&gt;"OK"),"n.a.",IF(OR(N166="VENCIDO",N166="CRÍTICO",N166="VENCE NA JANELA",M166="Quarentena",M166="Bloqueado"),L166,0)))</x:f>
      </x:c>
      <x:c r="S166" s="163" t="str">
        <x:f>IF(COUNTA(A166:B166,D166:G166,I166,K166,M166,Q166,AB166:AD166)=0,"",IF(OR(A166="",COUNTIFS($A$5:$A$204,A166)&lt;&gt;1),"Lote ausente ou duplicado",IF(OR(B166="",COUNTIFS(Produtos!$A$5:$A$204,B166)&lt;&gt;1),"SKU ausente ou desconhecido",IF(COUNTIFS(Produtos!$A$5:$A$204,B166,Produtos!$R$5:$R$204,1)&gt;0,"Revisar cadastro do produto",IF(OR(NOT(ISNUMBER(E166)),E166&lt;=0,NOT(ISNUMBER(G166)),G166&lt;=0,G166&lt;E166),"Recebimento ou validade inválida",IF(AND(F166&lt;&gt;"",OR(NOT(ISNUMBER(F166)),F166&lt;=0,F166&gt;E166)),"Fabricação inválida ou posterior ao recebimento",IF(OR(NOT(ISNUMBER(K166)),K166&lt;0,NOT(ISNUMBER(I166)),I166&lt;0),"Quantidade recebida ou custo inválido",IF(AND(M166&lt;&gt;"Liberado",M166&lt;&gt;"Quarentena",M166&lt;&gt;"Bloqueado",M166&lt;&gt;"Esgotado"),"Status de lote inválido",""))))))))</x:f>
      </x:c>
      <x:c r="T166" s="163" t="n">
        <x:f>IF(A166="",0,COUNTIFS(Movimentacoes!$D$5:$D$304,A166,Movimentacoes!$P$5:$P$304,1))</x:f>
        <x:v>0</x:v>
      </x:c>
      <x:c r="U166" s="163" t="n">
        <x:f>IF(COUNTA(A166:B166,D166:G166,I166,K166,M166,Q166,AB166:AD166)=0,0,IF(OR(S166&lt;&gt;"",T166&gt;0),1,IF(ISNUMBER(J166),IF(OR(J166&lt;0,AND(J166&gt;0,M166="Esgotado")),1,0),0)))</x:f>
        <x:v>0</x:v>
      </x:c>
      <x:c r="V166" s="163" t="str">
        <x:f>IF(A166="","",IF(OR(U166&gt;0,Listas!$B$13&lt;&gt;"OK"),"n.a.",IF(AND(J166&gt;0,M166="Liberado",G166&gt;=Listas!$B$6),J166,0)))</x:f>
      </x:c>
      <x:c r="W166" s="163" t="str">
        <x:f>IF(A166="","",IF(OR(U166&gt;0,Listas!$B$13&lt;&gt;"OK"),"n.a.",V166*K166))</x:f>
      </x:c>
      <x:c r="X166" s="167" t="n">
        <x:f>IF(COUNTA(A166:B166,D166:G166,I166,K166,M166,Q166,AB166:AD166)=0,0,IF(OR(Listas!$B$19="Todos",B166=Listas!$B$19,COUNTIFS(Produtos!$A$5:$A$204,B166)&lt;&gt;1),1,0))</x:f>
        <x:v>0</x:v>
      </x:c>
      <x:c r="Y166" s="167" t="str">
        <x:f>IF(X166=0,"",IF(Listas!$B$13&lt;&gt;"OK","Revisar parâmetros",IF(U166&gt;0,IF(S166&lt;&gt;"",S166,IF(T166&gt;0,"Revisar movimentos",IF(AND(ISNUMBER(J166),J166&lt;0),"Saldo negativo","Status esgotado com saldo"))),IF(AG166&lt;&gt;"",AG166&amp;". ","")&amp;IF(J166&lt;=0,"",IF(N166="VENCIDO","Validade vencida. ","")&amp;IF(M166="Quarentena","Em quarentena. ","")&amp;IF(M166="Bloqueado","Lote bloqueado. ","")&amp;IF(N166="CRÍTICO","Validade crítica. ","")&amp;IF(N166="VENCE NA JANELA","Vence na janela. ","")))))</x:f>
      </x:c>
      <x:c r="Z166" s="167" t="n">
        <x:f>IF(OR(X166=0,Y166=""),0,IF(OR(Listas!$B$13&lt;&gt;"OK",U166&gt;0,AH166&gt;0),1,IF(N166="VENCIDO",2,IF(OR(M166="Quarentena",M166="Bloqueado"),3,IF(N166="CRÍTICO",4,5)))))</x:f>
        <x:v>0</x:v>
      </x:c>
      <x:c r="AA166" s="167" t="n">
        <x:f>IF(Z166=0,0,COUNTIFS($Z$5:$Z$204,"&gt;0",$Z$5:$Z$204,"&lt;"&amp;Z166,$X$5:$X$204,1)+COUNTIFS($Z$5:Z166,Z166,$X$5:X166,1))</x:f>
        <x:v>0</x:v>
      </x:c>
      <x:c r="AB166" s="168"/>
      <x:c r="AC166" s="168"/>
      <x:c r="AD166" s="169"/>
      <x:c r="AE166" s="167" t="str">
        <x:f>IF(X166=0,"",IF(OR(U166&gt;0,Listas!$B$13&lt;&gt;"OK"),"Dados pendentes",IF(J166&lt;=0,"Sem saldo",IF(N166="VENCIDO","Vencidos",IF(OR(M166="Quarentena",M166="Bloqueado"),"Restritos vigentes",IF(OR(N166="CRÍTICO",N166="VENCE NA JANELA"),"Liberados na janela","Demais liberados"))))))</x:f>
      </x:c>
      <x:c r="AF166" s="167" t="str">
        <x:f>IF(A166&lt;&gt;"",A166,IF(U166&gt;0,"Sem ID (linha "&amp;ROW()&amp;")",""))</x:f>
      </x:c>
      <x:c r="AG166" s="167" t="str">
        <x:f>IF(AD166="","",IF(OR(NOT(ISNUMBER(AD166)),AD166&lt;=0),"Prazo da ação inválido",""))</x:f>
      </x:c>
      <x:c r="AH166" s="167" t="n">
        <x:f>IF(AG166="",0,1)</x:f>
        <x:v>0</x:v>
      </x:c>
    </x:row>
    <x:row r="167" ht="32" customHeight="1">
      <x:c r="A167" s="27"/>
      <x:c r="B167" s="27"/>
      <x:c r="C167" s="40" t="str">
        <x:f>IF($B167="","",IFERROR(INDEX(Produtos!$B$5:$B$204,MATCH($B167,Produtos!$A$5:$A$204,0)),""))</x:f>
      </x:c>
      <x:c r="D167" s="170"/>
      <x:c r="E167" s="179"/>
      <x:c r="F167" s="179"/>
      <x:c r="G167" s="179"/>
      <x:c r="H167" s="40" t="str">
        <x:f>IF(A167="","",IF(OR(S167&lt;&gt;"",Listas!$B$13&lt;&gt;"OK"),"n.a.",G167-Listas!$B$6))</x:f>
      </x:c>
      <x:c r="I167" s="40"/>
      <x:c r="J167" s="40" t="str">
        <x:f>IF(A167="","",IF(OR(S167&lt;&gt;"",T167&gt;0,Listas!$B$13&lt;&gt;"OK"),"n.a.",SUMIFS(Movimentacoes!$H$5:$H$304,Movimentacoes!$D$5:$D$304,A167,Movimentacoes!$B$5:$B$304,"&lt;="&amp;Listas!$B$6)))</x:f>
      </x:c>
      <x:c r="K167" s="180"/>
      <x:c r="L167" s="181" t="str">
        <x:f>IF(A167="","",IF(OR(U167&gt;0,Listas!$B$13&lt;&gt;"OK"),"n.a.",J167*K167))</x:f>
      </x:c>
      <x:c r="M167" s="27"/>
      <x:c r="N167" s="40" t="str">
        <x:f>IF(A167="","",IF(OR(U167&gt;0,Listas!$B$13&lt;&gt;"OK"),"REVISAR DADOS",IF(J167=0,"SEM SALDO",IF(G167&lt;Listas!$B$6,"VENCIDO",IF(H167&lt;=Listas!$B$7,"CRÍTICO",IF(H167&lt;=Listas!$B$8,"VENCE NA JANELA","OK"))))))</x:f>
      </x:c>
      <x:c r="O167" s="41" t="str">
        <x:f>IF(A167="","",IF(AND(ISNUMBER(V167),V167&gt;0),G167,""))</x:f>
      </x:c>
      <x:c r="P167" s="40" t="str">
        <x:f>IF(A167="","",IF(OR(U167&gt;0,Listas!$B$13&lt;&gt;"OK"),"REVISAR DADOS",IF(J167=0,"ARQUIVAR LOTE",IF(M167="Quarentena","DECIDIR LIBERAÇÃO",IF(M167="Bloqueado","SEGREGAR E INVESTIGAR",IF(M167="Esgotado","REVISAR STATUS COM SALDO",IF(N167="VENCIDO","SEGREGAR E AVALIAR DESTINAÇÃO",IF(OR(N167="CRÍTICO",N167="VENCE NA JANELA"),"PRIORIZAR FEFO","MANTER ROTAÇÃO"))))))))</x:f>
      </x:c>
      <x:c r="Q167" s="27"/>
      <x:c r="R167" s="181" t="str">
        <x:f>IF(A167="","",IF(OR(U167&gt;0,Listas!$B$13&lt;&gt;"OK"),"n.a.",IF(OR(N167="VENCIDO",N167="CRÍTICO",N167="VENCE NA JANELA",M167="Quarentena",M167="Bloqueado"),L167,0)))</x:f>
      </x:c>
      <x:c r="S167" s="163" t="str">
        <x:f>IF(COUNTA(A167:B167,D167:G167,I167,K167,M167,Q167,AB167:AD167)=0,"",IF(OR(A167="",COUNTIFS($A$5:$A$204,A167)&lt;&gt;1),"Lote ausente ou duplicado",IF(OR(B167="",COUNTIFS(Produtos!$A$5:$A$204,B167)&lt;&gt;1),"SKU ausente ou desconhecido",IF(COUNTIFS(Produtos!$A$5:$A$204,B167,Produtos!$R$5:$R$204,1)&gt;0,"Revisar cadastro do produto",IF(OR(NOT(ISNUMBER(E167)),E167&lt;=0,NOT(ISNUMBER(G167)),G167&lt;=0,G167&lt;E167),"Recebimento ou validade inválida",IF(AND(F167&lt;&gt;"",OR(NOT(ISNUMBER(F167)),F167&lt;=0,F167&gt;E167)),"Fabricação inválida ou posterior ao recebimento",IF(OR(NOT(ISNUMBER(K167)),K167&lt;0,NOT(ISNUMBER(I167)),I167&lt;0),"Quantidade recebida ou custo inválido",IF(AND(M167&lt;&gt;"Liberado",M167&lt;&gt;"Quarentena",M167&lt;&gt;"Bloqueado",M167&lt;&gt;"Esgotado"),"Status de lote inválido",""))))))))</x:f>
      </x:c>
      <x:c r="T167" s="163" t="n">
        <x:f>IF(A167="",0,COUNTIFS(Movimentacoes!$D$5:$D$304,A167,Movimentacoes!$P$5:$P$304,1))</x:f>
        <x:v>0</x:v>
      </x:c>
      <x:c r="U167" s="163" t="n">
        <x:f>IF(COUNTA(A167:B167,D167:G167,I167,K167,M167,Q167,AB167:AD167)=0,0,IF(OR(S167&lt;&gt;"",T167&gt;0),1,IF(ISNUMBER(J167),IF(OR(J167&lt;0,AND(J167&gt;0,M167="Esgotado")),1,0),0)))</x:f>
        <x:v>0</x:v>
      </x:c>
      <x:c r="V167" s="163" t="str">
        <x:f>IF(A167="","",IF(OR(U167&gt;0,Listas!$B$13&lt;&gt;"OK"),"n.a.",IF(AND(J167&gt;0,M167="Liberado",G167&gt;=Listas!$B$6),J167,0)))</x:f>
      </x:c>
      <x:c r="W167" s="163" t="str">
        <x:f>IF(A167="","",IF(OR(U167&gt;0,Listas!$B$13&lt;&gt;"OK"),"n.a.",V167*K167))</x:f>
      </x:c>
      <x:c r="X167" s="167" t="n">
        <x:f>IF(COUNTA(A167:B167,D167:G167,I167,K167,M167,Q167,AB167:AD167)=0,0,IF(OR(Listas!$B$19="Todos",B167=Listas!$B$19,COUNTIFS(Produtos!$A$5:$A$204,B167)&lt;&gt;1),1,0))</x:f>
        <x:v>0</x:v>
      </x:c>
      <x:c r="Y167" s="167" t="str">
        <x:f>IF(X167=0,"",IF(Listas!$B$13&lt;&gt;"OK","Revisar parâmetros",IF(U167&gt;0,IF(S167&lt;&gt;"",S167,IF(T167&gt;0,"Revisar movimentos",IF(AND(ISNUMBER(J167),J167&lt;0),"Saldo negativo","Status esgotado com saldo"))),IF(AG167&lt;&gt;"",AG167&amp;". ","")&amp;IF(J167&lt;=0,"",IF(N167="VENCIDO","Validade vencida. ","")&amp;IF(M167="Quarentena","Em quarentena. ","")&amp;IF(M167="Bloqueado","Lote bloqueado. ","")&amp;IF(N167="CRÍTICO","Validade crítica. ","")&amp;IF(N167="VENCE NA JANELA","Vence na janela. ","")))))</x:f>
      </x:c>
      <x:c r="Z167" s="167" t="n">
        <x:f>IF(OR(X167=0,Y167=""),0,IF(OR(Listas!$B$13&lt;&gt;"OK",U167&gt;0,AH167&gt;0),1,IF(N167="VENCIDO",2,IF(OR(M167="Quarentena",M167="Bloqueado"),3,IF(N167="CRÍTICO",4,5)))))</x:f>
        <x:v>0</x:v>
      </x:c>
      <x:c r="AA167" s="167" t="n">
        <x:f>IF(Z167=0,0,COUNTIFS($Z$5:$Z$204,"&gt;0",$Z$5:$Z$204,"&lt;"&amp;Z167,$X$5:$X$204,1)+COUNTIFS($Z$5:Z167,Z167,$X$5:X167,1))</x:f>
        <x:v>0</x:v>
      </x:c>
      <x:c r="AB167" s="168"/>
      <x:c r="AC167" s="168"/>
      <x:c r="AD167" s="169"/>
      <x:c r="AE167" s="167" t="str">
        <x:f>IF(X167=0,"",IF(OR(U167&gt;0,Listas!$B$13&lt;&gt;"OK"),"Dados pendentes",IF(J167&lt;=0,"Sem saldo",IF(N167="VENCIDO","Vencidos",IF(OR(M167="Quarentena",M167="Bloqueado"),"Restritos vigentes",IF(OR(N167="CRÍTICO",N167="VENCE NA JANELA"),"Liberados na janela","Demais liberados"))))))</x:f>
      </x:c>
      <x:c r="AF167" s="167" t="str">
        <x:f>IF(A167&lt;&gt;"",A167,IF(U167&gt;0,"Sem ID (linha "&amp;ROW()&amp;")",""))</x:f>
      </x:c>
      <x:c r="AG167" s="167" t="str">
        <x:f>IF(AD167="","",IF(OR(NOT(ISNUMBER(AD167)),AD167&lt;=0),"Prazo da ação inválido",""))</x:f>
      </x:c>
      <x:c r="AH167" s="167" t="n">
        <x:f>IF(AG167="",0,1)</x:f>
        <x:v>0</x:v>
      </x:c>
    </x:row>
    <x:row r="168" ht="32" customHeight="1">
      <x:c r="A168" s="27"/>
      <x:c r="B168" s="27"/>
      <x:c r="C168" s="40" t="str">
        <x:f>IF($B168="","",IFERROR(INDEX(Produtos!$B$5:$B$204,MATCH($B168,Produtos!$A$5:$A$204,0)),""))</x:f>
      </x:c>
      <x:c r="D168" s="170"/>
      <x:c r="E168" s="179"/>
      <x:c r="F168" s="179"/>
      <x:c r="G168" s="179"/>
      <x:c r="H168" s="40" t="str">
        <x:f>IF(A168="","",IF(OR(S168&lt;&gt;"",Listas!$B$13&lt;&gt;"OK"),"n.a.",G168-Listas!$B$6))</x:f>
      </x:c>
      <x:c r="I168" s="40"/>
      <x:c r="J168" s="40" t="str">
        <x:f>IF(A168="","",IF(OR(S168&lt;&gt;"",T168&gt;0,Listas!$B$13&lt;&gt;"OK"),"n.a.",SUMIFS(Movimentacoes!$H$5:$H$304,Movimentacoes!$D$5:$D$304,A168,Movimentacoes!$B$5:$B$304,"&lt;="&amp;Listas!$B$6)))</x:f>
      </x:c>
      <x:c r="K168" s="180"/>
      <x:c r="L168" s="181" t="str">
        <x:f>IF(A168="","",IF(OR(U168&gt;0,Listas!$B$13&lt;&gt;"OK"),"n.a.",J168*K168))</x:f>
      </x:c>
      <x:c r="M168" s="27"/>
      <x:c r="N168" s="40" t="str">
        <x:f>IF(A168="","",IF(OR(U168&gt;0,Listas!$B$13&lt;&gt;"OK"),"REVISAR DADOS",IF(J168=0,"SEM SALDO",IF(G168&lt;Listas!$B$6,"VENCIDO",IF(H168&lt;=Listas!$B$7,"CRÍTICO",IF(H168&lt;=Listas!$B$8,"VENCE NA JANELA","OK"))))))</x:f>
      </x:c>
      <x:c r="O168" s="41" t="str">
        <x:f>IF(A168="","",IF(AND(ISNUMBER(V168),V168&gt;0),G168,""))</x:f>
      </x:c>
      <x:c r="P168" s="40" t="str">
        <x:f>IF(A168="","",IF(OR(U168&gt;0,Listas!$B$13&lt;&gt;"OK"),"REVISAR DADOS",IF(J168=0,"ARQUIVAR LOTE",IF(M168="Quarentena","DECIDIR LIBERAÇÃO",IF(M168="Bloqueado","SEGREGAR E INVESTIGAR",IF(M168="Esgotado","REVISAR STATUS COM SALDO",IF(N168="VENCIDO","SEGREGAR E AVALIAR DESTINAÇÃO",IF(OR(N168="CRÍTICO",N168="VENCE NA JANELA"),"PRIORIZAR FEFO","MANTER ROTAÇÃO"))))))))</x:f>
      </x:c>
      <x:c r="Q168" s="27"/>
      <x:c r="R168" s="181" t="str">
        <x:f>IF(A168="","",IF(OR(U168&gt;0,Listas!$B$13&lt;&gt;"OK"),"n.a.",IF(OR(N168="VENCIDO",N168="CRÍTICO",N168="VENCE NA JANELA",M168="Quarentena",M168="Bloqueado"),L168,0)))</x:f>
      </x:c>
      <x:c r="S168" s="163" t="str">
        <x:f>IF(COUNTA(A168:B168,D168:G168,I168,K168,M168,Q168,AB168:AD168)=0,"",IF(OR(A168="",COUNTIFS($A$5:$A$204,A168)&lt;&gt;1),"Lote ausente ou duplicado",IF(OR(B168="",COUNTIFS(Produtos!$A$5:$A$204,B168)&lt;&gt;1),"SKU ausente ou desconhecido",IF(COUNTIFS(Produtos!$A$5:$A$204,B168,Produtos!$R$5:$R$204,1)&gt;0,"Revisar cadastro do produto",IF(OR(NOT(ISNUMBER(E168)),E168&lt;=0,NOT(ISNUMBER(G168)),G168&lt;=0,G168&lt;E168),"Recebimento ou validade inválida",IF(AND(F168&lt;&gt;"",OR(NOT(ISNUMBER(F168)),F168&lt;=0,F168&gt;E168)),"Fabricação inválida ou posterior ao recebimento",IF(OR(NOT(ISNUMBER(K168)),K168&lt;0,NOT(ISNUMBER(I168)),I168&lt;0),"Quantidade recebida ou custo inválido",IF(AND(M168&lt;&gt;"Liberado",M168&lt;&gt;"Quarentena",M168&lt;&gt;"Bloqueado",M168&lt;&gt;"Esgotado"),"Status de lote inválido",""))))))))</x:f>
      </x:c>
      <x:c r="T168" s="163" t="n">
        <x:f>IF(A168="",0,COUNTIFS(Movimentacoes!$D$5:$D$304,A168,Movimentacoes!$P$5:$P$304,1))</x:f>
        <x:v>0</x:v>
      </x:c>
      <x:c r="U168" s="163" t="n">
        <x:f>IF(COUNTA(A168:B168,D168:G168,I168,K168,M168,Q168,AB168:AD168)=0,0,IF(OR(S168&lt;&gt;"",T168&gt;0),1,IF(ISNUMBER(J168),IF(OR(J168&lt;0,AND(J168&gt;0,M168="Esgotado")),1,0),0)))</x:f>
        <x:v>0</x:v>
      </x:c>
      <x:c r="V168" s="163" t="str">
        <x:f>IF(A168="","",IF(OR(U168&gt;0,Listas!$B$13&lt;&gt;"OK"),"n.a.",IF(AND(J168&gt;0,M168="Liberado",G168&gt;=Listas!$B$6),J168,0)))</x:f>
      </x:c>
      <x:c r="W168" s="163" t="str">
        <x:f>IF(A168="","",IF(OR(U168&gt;0,Listas!$B$13&lt;&gt;"OK"),"n.a.",V168*K168))</x:f>
      </x:c>
      <x:c r="X168" s="167" t="n">
        <x:f>IF(COUNTA(A168:B168,D168:G168,I168,K168,M168,Q168,AB168:AD168)=0,0,IF(OR(Listas!$B$19="Todos",B168=Listas!$B$19,COUNTIFS(Produtos!$A$5:$A$204,B168)&lt;&gt;1),1,0))</x:f>
        <x:v>0</x:v>
      </x:c>
      <x:c r="Y168" s="167" t="str">
        <x:f>IF(X168=0,"",IF(Listas!$B$13&lt;&gt;"OK","Revisar parâmetros",IF(U168&gt;0,IF(S168&lt;&gt;"",S168,IF(T168&gt;0,"Revisar movimentos",IF(AND(ISNUMBER(J168),J168&lt;0),"Saldo negativo","Status esgotado com saldo"))),IF(AG168&lt;&gt;"",AG168&amp;". ","")&amp;IF(J168&lt;=0,"",IF(N168="VENCIDO","Validade vencida. ","")&amp;IF(M168="Quarentena","Em quarentena. ","")&amp;IF(M168="Bloqueado","Lote bloqueado. ","")&amp;IF(N168="CRÍTICO","Validade crítica. ","")&amp;IF(N168="VENCE NA JANELA","Vence na janela. ","")))))</x:f>
      </x:c>
      <x:c r="Z168" s="167" t="n">
        <x:f>IF(OR(X168=0,Y168=""),0,IF(OR(Listas!$B$13&lt;&gt;"OK",U168&gt;0,AH168&gt;0),1,IF(N168="VENCIDO",2,IF(OR(M168="Quarentena",M168="Bloqueado"),3,IF(N168="CRÍTICO",4,5)))))</x:f>
        <x:v>0</x:v>
      </x:c>
      <x:c r="AA168" s="167" t="n">
        <x:f>IF(Z168=0,0,COUNTIFS($Z$5:$Z$204,"&gt;0",$Z$5:$Z$204,"&lt;"&amp;Z168,$X$5:$X$204,1)+COUNTIFS($Z$5:Z168,Z168,$X$5:X168,1))</x:f>
        <x:v>0</x:v>
      </x:c>
      <x:c r="AB168" s="168"/>
      <x:c r="AC168" s="168"/>
      <x:c r="AD168" s="169"/>
      <x:c r="AE168" s="167" t="str">
        <x:f>IF(X168=0,"",IF(OR(U168&gt;0,Listas!$B$13&lt;&gt;"OK"),"Dados pendentes",IF(J168&lt;=0,"Sem saldo",IF(N168="VENCIDO","Vencidos",IF(OR(M168="Quarentena",M168="Bloqueado"),"Restritos vigentes",IF(OR(N168="CRÍTICO",N168="VENCE NA JANELA"),"Liberados na janela","Demais liberados"))))))</x:f>
      </x:c>
      <x:c r="AF168" s="167" t="str">
        <x:f>IF(A168&lt;&gt;"",A168,IF(U168&gt;0,"Sem ID (linha "&amp;ROW()&amp;")",""))</x:f>
      </x:c>
      <x:c r="AG168" s="167" t="str">
        <x:f>IF(AD168="","",IF(OR(NOT(ISNUMBER(AD168)),AD168&lt;=0),"Prazo da ação inválido",""))</x:f>
      </x:c>
      <x:c r="AH168" s="167" t="n">
        <x:f>IF(AG168="",0,1)</x:f>
        <x:v>0</x:v>
      </x:c>
    </x:row>
    <x:row r="169" ht="32" customHeight="1">
      <x:c r="A169" s="27"/>
      <x:c r="B169" s="27"/>
      <x:c r="C169" s="40" t="str">
        <x:f>IF($B169="","",IFERROR(INDEX(Produtos!$B$5:$B$204,MATCH($B169,Produtos!$A$5:$A$204,0)),""))</x:f>
      </x:c>
      <x:c r="D169" s="170"/>
      <x:c r="E169" s="179"/>
      <x:c r="F169" s="179"/>
      <x:c r="G169" s="179"/>
      <x:c r="H169" s="40" t="str">
        <x:f>IF(A169="","",IF(OR(S169&lt;&gt;"",Listas!$B$13&lt;&gt;"OK"),"n.a.",G169-Listas!$B$6))</x:f>
      </x:c>
      <x:c r="I169" s="40"/>
      <x:c r="J169" s="40" t="str">
        <x:f>IF(A169="","",IF(OR(S169&lt;&gt;"",T169&gt;0,Listas!$B$13&lt;&gt;"OK"),"n.a.",SUMIFS(Movimentacoes!$H$5:$H$304,Movimentacoes!$D$5:$D$304,A169,Movimentacoes!$B$5:$B$304,"&lt;="&amp;Listas!$B$6)))</x:f>
      </x:c>
      <x:c r="K169" s="180"/>
      <x:c r="L169" s="181" t="str">
        <x:f>IF(A169="","",IF(OR(U169&gt;0,Listas!$B$13&lt;&gt;"OK"),"n.a.",J169*K169))</x:f>
      </x:c>
      <x:c r="M169" s="27"/>
      <x:c r="N169" s="40" t="str">
        <x:f>IF(A169="","",IF(OR(U169&gt;0,Listas!$B$13&lt;&gt;"OK"),"REVISAR DADOS",IF(J169=0,"SEM SALDO",IF(G169&lt;Listas!$B$6,"VENCIDO",IF(H169&lt;=Listas!$B$7,"CRÍTICO",IF(H169&lt;=Listas!$B$8,"VENCE NA JANELA","OK"))))))</x:f>
      </x:c>
      <x:c r="O169" s="41" t="str">
        <x:f>IF(A169="","",IF(AND(ISNUMBER(V169),V169&gt;0),G169,""))</x:f>
      </x:c>
      <x:c r="P169" s="40" t="str">
        <x:f>IF(A169="","",IF(OR(U169&gt;0,Listas!$B$13&lt;&gt;"OK"),"REVISAR DADOS",IF(J169=0,"ARQUIVAR LOTE",IF(M169="Quarentena","DECIDIR LIBERAÇÃO",IF(M169="Bloqueado","SEGREGAR E INVESTIGAR",IF(M169="Esgotado","REVISAR STATUS COM SALDO",IF(N169="VENCIDO","SEGREGAR E AVALIAR DESTINAÇÃO",IF(OR(N169="CRÍTICO",N169="VENCE NA JANELA"),"PRIORIZAR FEFO","MANTER ROTAÇÃO"))))))))</x:f>
      </x:c>
      <x:c r="Q169" s="27"/>
      <x:c r="R169" s="181" t="str">
        <x:f>IF(A169="","",IF(OR(U169&gt;0,Listas!$B$13&lt;&gt;"OK"),"n.a.",IF(OR(N169="VENCIDO",N169="CRÍTICO",N169="VENCE NA JANELA",M169="Quarentena",M169="Bloqueado"),L169,0)))</x:f>
      </x:c>
      <x:c r="S169" s="163" t="str">
        <x:f>IF(COUNTA(A169:B169,D169:G169,I169,K169,M169,Q169,AB169:AD169)=0,"",IF(OR(A169="",COUNTIFS($A$5:$A$204,A169)&lt;&gt;1),"Lote ausente ou duplicado",IF(OR(B169="",COUNTIFS(Produtos!$A$5:$A$204,B169)&lt;&gt;1),"SKU ausente ou desconhecido",IF(COUNTIFS(Produtos!$A$5:$A$204,B169,Produtos!$R$5:$R$204,1)&gt;0,"Revisar cadastro do produto",IF(OR(NOT(ISNUMBER(E169)),E169&lt;=0,NOT(ISNUMBER(G169)),G169&lt;=0,G169&lt;E169),"Recebimento ou validade inválida",IF(AND(F169&lt;&gt;"",OR(NOT(ISNUMBER(F169)),F169&lt;=0,F169&gt;E169)),"Fabricação inválida ou posterior ao recebimento",IF(OR(NOT(ISNUMBER(K169)),K169&lt;0,NOT(ISNUMBER(I169)),I169&lt;0),"Quantidade recebida ou custo inválido",IF(AND(M169&lt;&gt;"Liberado",M169&lt;&gt;"Quarentena",M169&lt;&gt;"Bloqueado",M169&lt;&gt;"Esgotado"),"Status de lote inválido",""))))))))</x:f>
      </x:c>
      <x:c r="T169" s="163" t="n">
        <x:f>IF(A169="",0,COUNTIFS(Movimentacoes!$D$5:$D$304,A169,Movimentacoes!$P$5:$P$304,1))</x:f>
        <x:v>0</x:v>
      </x:c>
      <x:c r="U169" s="163" t="n">
        <x:f>IF(COUNTA(A169:B169,D169:G169,I169,K169,M169,Q169,AB169:AD169)=0,0,IF(OR(S169&lt;&gt;"",T169&gt;0),1,IF(ISNUMBER(J169),IF(OR(J169&lt;0,AND(J169&gt;0,M169="Esgotado")),1,0),0)))</x:f>
        <x:v>0</x:v>
      </x:c>
      <x:c r="V169" s="163" t="str">
        <x:f>IF(A169="","",IF(OR(U169&gt;0,Listas!$B$13&lt;&gt;"OK"),"n.a.",IF(AND(J169&gt;0,M169="Liberado",G169&gt;=Listas!$B$6),J169,0)))</x:f>
      </x:c>
      <x:c r="W169" s="163" t="str">
        <x:f>IF(A169="","",IF(OR(U169&gt;0,Listas!$B$13&lt;&gt;"OK"),"n.a.",V169*K169))</x:f>
      </x:c>
      <x:c r="X169" s="167" t="n">
        <x:f>IF(COUNTA(A169:B169,D169:G169,I169,K169,M169,Q169,AB169:AD169)=0,0,IF(OR(Listas!$B$19="Todos",B169=Listas!$B$19,COUNTIFS(Produtos!$A$5:$A$204,B169)&lt;&gt;1),1,0))</x:f>
        <x:v>0</x:v>
      </x:c>
      <x:c r="Y169" s="167" t="str">
        <x:f>IF(X169=0,"",IF(Listas!$B$13&lt;&gt;"OK","Revisar parâmetros",IF(U169&gt;0,IF(S169&lt;&gt;"",S169,IF(T169&gt;0,"Revisar movimentos",IF(AND(ISNUMBER(J169),J169&lt;0),"Saldo negativo","Status esgotado com saldo"))),IF(AG169&lt;&gt;"",AG169&amp;". ","")&amp;IF(J169&lt;=0,"",IF(N169="VENCIDO","Validade vencida. ","")&amp;IF(M169="Quarentena","Em quarentena. ","")&amp;IF(M169="Bloqueado","Lote bloqueado. ","")&amp;IF(N169="CRÍTICO","Validade crítica. ","")&amp;IF(N169="VENCE NA JANELA","Vence na janela. ","")))))</x:f>
      </x:c>
      <x:c r="Z169" s="167" t="n">
        <x:f>IF(OR(X169=0,Y169=""),0,IF(OR(Listas!$B$13&lt;&gt;"OK",U169&gt;0,AH169&gt;0),1,IF(N169="VENCIDO",2,IF(OR(M169="Quarentena",M169="Bloqueado"),3,IF(N169="CRÍTICO",4,5)))))</x:f>
        <x:v>0</x:v>
      </x:c>
      <x:c r="AA169" s="167" t="n">
        <x:f>IF(Z169=0,0,COUNTIFS($Z$5:$Z$204,"&gt;0",$Z$5:$Z$204,"&lt;"&amp;Z169,$X$5:$X$204,1)+COUNTIFS($Z$5:Z169,Z169,$X$5:X169,1))</x:f>
        <x:v>0</x:v>
      </x:c>
      <x:c r="AB169" s="168"/>
      <x:c r="AC169" s="168"/>
      <x:c r="AD169" s="169"/>
      <x:c r="AE169" s="167" t="str">
        <x:f>IF(X169=0,"",IF(OR(U169&gt;0,Listas!$B$13&lt;&gt;"OK"),"Dados pendentes",IF(J169&lt;=0,"Sem saldo",IF(N169="VENCIDO","Vencidos",IF(OR(M169="Quarentena",M169="Bloqueado"),"Restritos vigentes",IF(OR(N169="CRÍTICO",N169="VENCE NA JANELA"),"Liberados na janela","Demais liberados"))))))</x:f>
      </x:c>
      <x:c r="AF169" s="167" t="str">
        <x:f>IF(A169&lt;&gt;"",A169,IF(U169&gt;0,"Sem ID (linha "&amp;ROW()&amp;")",""))</x:f>
      </x:c>
      <x:c r="AG169" s="167" t="str">
        <x:f>IF(AD169="","",IF(OR(NOT(ISNUMBER(AD169)),AD169&lt;=0),"Prazo da ação inválido",""))</x:f>
      </x:c>
      <x:c r="AH169" s="167" t="n">
        <x:f>IF(AG169="",0,1)</x:f>
        <x:v>0</x:v>
      </x:c>
    </x:row>
    <x:row r="170" ht="32" customHeight="1">
      <x:c r="A170" s="27"/>
      <x:c r="B170" s="27"/>
      <x:c r="C170" s="40" t="str">
        <x:f>IF($B170="","",IFERROR(INDEX(Produtos!$B$5:$B$204,MATCH($B170,Produtos!$A$5:$A$204,0)),""))</x:f>
      </x:c>
      <x:c r="D170" s="170"/>
      <x:c r="E170" s="179"/>
      <x:c r="F170" s="179"/>
      <x:c r="G170" s="179"/>
      <x:c r="H170" s="40" t="str">
        <x:f>IF(A170="","",IF(OR(S170&lt;&gt;"",Listas!$B$13&lt;&gt;"OK"),"n.a.",G170-Listas!$B$6))</x:f>
      </x:c>
      <x:c r="I170" s="40"/>
      <x:c r="J170" s="40" t="str">
        <x:f>IF(A170="","",IF(OR(S170&lt;&gt;"",T170&gt;0,Listas!$B$13&lt;&gt;"OK"),"n.a.",SUMIFS(Movimentacoes!$H$5:$H$304,Movimentacoes!$D$5:$D$304,A170,Movimentacoes!$B$5:$B$304,"&lt;="&amp;Listas!$B$6)))</x:f>
      </x:c>
      <x:c r="K170" s="180"/>
      <x:c r="L170" s="181" t="str">
        <x:f>IF(A170="","",IF(OR(U170&gt;0,Listas!$B$13&lt;&gt;"OK"),"n.a.",J170*K170))</x:f>
      </x:c>
      <x:c r="M170" s="27"/>
      <x:c r="N170" s="40" t="str">
        <x:f>IF(A170="","",IF(OR(U170&gt;0,Listas!$B$13&lt;&gt;"OK"),"REVISAR DADOS",IF(J170=0,"SEM SALDO",IF(G170&lt;Listas!$B$6,"VENCIDO",IF(H170&lt;=Listas!$B$7,"CRÍTICO",IF(H170&lt;=Listas!$B$8,"VENCE NA JANELA","OK"))))))</x:f>
      </x:c>
      <x:c r="O170" s="41" t="str">
        <x:f>IF(A170="","",IF(AND(ISNUMBER(V170),V170&gt;0),G170,""))</x:f>
      </x:c>
      <x:c r="P170" s="40" t="str">
        <x:f>IF(A170="","",IF(OR(U170&gt;0,Listas!$B$13&lt;&gt;"OK"),"REVISAR DADOS",IF(J170=0,"ARQUIVAR LOTE",IF(M170="Quarentena","DECIDIR LIBERAÇÃO",IF(M170="Bloqueado","SEGREGAR E INVESTIGAR",IF(M170="Esgotado","REVISAR STATUS COM SALDO",IF(N170="VENCIDO","SEGREGAR E AVALIAR DESTINAÇÃO",IF(OR(N170="CRÍTICO",N170="VENCE NA JANELA"),"PRIORIZAR FEFO","MANTER ROTAÇÃO"))))))))</x:f>
      </x:c>
      <x:c r="Q170" s="27"/>
      <x:c r="R170" s="181" t="str">
        <x:f>IF(A170="","",IF(OR(U170&gt;0,Listas!$B$13&lt;&gt;"OK"),"n.a.",IF(OR(N170="VENCIDO",N170="CRÍTICO",N170="VENCE NA JANELA",M170="Quarentena",M170="Bloqueado"),L170,0)))</x:f>
      </x:c>
      <x:c r="S170" s="163" t="str">
        <x:f>IF(COUNTA(A170:B170,D170:G170,I170,K170,M170,Q170,AB170:AD170)=0,"",IF(OR(A170="",COUNTIFS($A$5:$A$204,A170)&lt;&gt;1),"Lote ausente ou duplicado",IF(OR(B170="",COUNTIFS(Produtos!$A$5:$A$204,B170)&lt;&gt;1),"SKU ausente ou desconhecido",IF(COUNTIFS(Produtos!$A$5:$A$204,B170,Produtos!$R$5:$R$204,1)&gt;0,"Revisar cadastro do produto",IF(OR(NOT(ISNUMBER(E170)),E170&lt;=0,NOT(ISNUMBER(G170)),G170&lt;=0,G170&lt;E170),"Recebimento ou validade inválida",IF(AND(F170&lt;&gt;"",OR(NOT(ISNUMBER(F170)),F170&lt;=0,F170&gt;E170)),"Fabricação inválida ou posterior ao recebimento",IF(OR(NOT(ISNUMBER(K170)),K170&lt;0,NOT(ISNUMBER(I170)),I170&lt;0),"Quantidade recebida ou custo inválido",IF(AND(M170&lt;&gt;"Liberado",M170&lt;&gt;"Quarentena",M170&lt;&gt;"Bloqueado",M170&lt;&gt;"Esgotado"),"Status de lote inválido",""))))))))</x:f>
      </x:c>
      <x:c r="T170" s="163" t="n">
        <x:f>IF(A170="",0,COUNTIFS(Movimentacoes!$D$5:$D$304,A170,Movimentacoes!$P$5:$P$304,1))</x:f>
        <x:v>0</x:v>
      </x:c>
      <x:c r="U170" s="163" t="n">
        <x:f>IF(COUNTA(A170:B170,D170:G170,I170,K170,M170,Q170,AB170:AD170)=0,0,IF(OR(S170&lt;&gt;"",T170&gt;0),1,IF(ISNUMBER(J170),IF(OR(J170&lt;0,AND(J170&gt;0,M170="Esgotado")),1,0),0)))</x:f>
        <x:v>0</x:v>
      </x:c>
      <x:c r="V170" s="163" t="str">
        <x:f>IF(A170="","",IF(OR(U170&gt;0,Listas!$B$13&lt;&gt;"OK"),"n.a.",IF(AND(J170&gt;0,M170="Liberado",G170&gt;=Listas!$B$6),J170,0)))</x:f>
      </x:c>
      <x:c r="W170" s="163" t="str">
        <x:f>IF(A170="","",IF(OR(U170&gt;0,Listas!$B$13&lt;&gt;"OK"),"n.a.",V170*K170))</x:f>
      </x:c>
      <x:c r="X170" s="167" t="n">
        <x:f>IF(COUNTA(A170:B170,D170:G170,I170,K170,M170,Q170,AB170:AD170)=0,0,IF(OR(Listas!$B$19="Todos",B170=Listas!$B$19,COUNTIFS(Produtos!$A$5:$A$204,B170)&lt;&gt;1),1,0))</x:f>
        <x:v>0</x:v>
      </x:c>
      <x:c r="Y170" s="167" t="str">
        <x:f>IF(X170=0,"",IF(Listas!$B$13&lt;&gt;"OK","Revisar parâmetros",IF(U170&gt;0,IF(S170&lt;&gt;"",S170,IF(T170&gt;0,"Revisar movimentos",IF(AND(ISNUMBER(J170),J170&lt;0),"Saldo negativo","Status esgotado com saldo"))),IF(AG170&lt;&gt;"",AG170&amp;". ","")&amp;IF(J170&lt;=0,"",IF(N170="VENCIDO","Validade vencida. ","")&amp;IF(M170="Quarentena","Em quarentena. ","")&amp;IF(M170="Bloqueado","Lote bloqueado. ","")&amp;IF(N170="CRÍTICO","Validade crítica. ","")&amp;IF(N170="VENCE NA JANELA","Vence na janela. ","")))))</x:f>
      </x:c>
      <x:c r="Z170" s="167" t="n">
        <x:f>IF(OR(X170=0,Y170=""),0,IF(OR(Listas!$B$13&lt;&gt;"OK",U170&gt;0,AH170&gt;0),1,IF(N170="VENCIDO",2,IF(OR(M170="Quarentena",M170="Bloqueado"),3,IF(N170="CRÍTICO",4,5)))))</x:f>
        <x:v>0</x:v>
      </x:c>
      <x:c r="AA170" s="167" t="n">
        <x:f>IF(Z170=0,0,COUNTIFS($Z$5:$Z$204,"&gt;0",$Z$5:$Z$204,"&lt;"&amp;Z170,$X$5:$X$204,1)+COUNTIFS($Z$5:Z170,Z170,$X$5:X170,1))</x:f>
        <x:v>0</x:v>
      </x:c>
      <x:c r="AB170" s="168"/>
      <x:c r="AC170" s="168"/>
      <x:c r="AD170" s="169"/>
      <x:c r="AE170" s="167" t="str">
        <x:f>IF(X170=0,"",IF(OR(U170&gt;0,Listas!$B$13&lt;&gt;"OK"),"Dados pendentes",IF(J170&lt;=0,"Sem saldo",IF(N170="VENCIDO","Vencidos",IF(OR(M170="Quarentena",M170="Bloqueado"),"Restritos vigentes",IF(OR(N170="CRÍTICO",N170="VENCE NA JANELA"),"Liberados na janela","Demais liberados"))))))</x:f>
      </x:c>
      <x:c r="AF170" s="167" t="str">
        <x:f>IF(A170&lt;&gt;"",A170,IF(U170&gt;0,"Sem ID (linha "&amp;ROW()&amp;")",""))</x:f>
      </x:c>
      <x:c r="AG170" s="167" t="str">
        <x:f>IF(AD170="","",IF(OR(NOT(ISNUMBER(AD170)),AD170&lt;=0),"Prazo da ação inválido",""))</x:f>
      </x:c>
      <x:c r="AH170" s="167" t="n">
        <x:f>IF(AG170="",0,1)</x:f>
        <x:v>0</x:v>
      </x:c>
    </x:row>
    <x:row r="171" ht="32" customHeight="1">
      <x:c r="A171" s="27"/>
      <x:c r="B171" s="27"/>
      <x:c r="C171" s="40" t="str">
        <x:f>IF($B171="","",IFERROR(INDEX(Produtos!$B$5:$B$204,MATCH($B171,Produtos!$A$5:$A$204,0)),""))</x:f>
      </x:c>
      <x:c r="D171" s="170"/>
      <x:c r="E171" s="179"/>
      <x:c r="F171" s="179"/>
      <x:c r="G171" s="179"/>
      <x:c r="H171" s="40" t="str">
        <x:f>IF(A171="","",IF(OR(S171&lt;&gt;"",Listas!$B$13&lt;&gt;"OK"),"n.a.",G171-Listas!$B$6))</x:f>
      </x:c>
      <x:c r="I171" s="40"/>
      <x:c r="J171" s="40" t="str">
        <x:f>IF(A171="","",IF(OR(S171&lt;&gt;"",T171&gt;0,Listas!$B$13&lt;&gt;"OK"),"n.a.",SUMIFS(Movimentacoes!$H$5:$H$304,Movimentacoes!$D$5:$D$304,A171,Movimentacoes!$B$5:$B$304,"&lt;="&amp;Listas!$B$6)))</x:f>
      </x:c>
      <x:c r="K171" s="180"/>
      <x:c r="L171" s="181" t="str">
        <x:f>IF(A171="","",IF(OR(U171&gt;0,Listas!$B$13&lt;&gt;"OK"),"n.a.",J171*K171))</x:f>
      </x:c>
      <x:c r="M171" s="27"/>
      <x:c r="N171" s="40" t="str">
        <x:f>IF(A171="","",IF(OR(U171&gt;0,Listas!$B$13&lt;&gt;"OK"),"REVISAR DADOS",IF(J171=0,"SEM SALDO",IF(G171&lt;Listas!$B$6,"VENCIDO",IF(H171&lt;=Listas!$B$7,"CRÍTICO",IF(H171&lt;=Listas!$B$8,"VENCE NA JANELA","OK"))))))</x:f>
      </x:c>
      <x:c r="O171" s="41" t="str">
        <x:f>IF(A171="","",IF(AND(ISNUMBER(V171),V171&gt;0),G171,""))</x:f>
      </x:c>
      <x:c r="P171" s="40" t="str">
        <x:f>IF(A171="","",IF(OR(U171&gt;0,Listas!$B$13&lt;&gt;"OK"),"REVISAR DADOS",IF(J171=0,"ARQUIVAR LOTE",IF(M171="Quarentena","DECIDIR LIBERAÇÃO",IF(M171="Bloqueado","SEGREGAR E INVESTIGAR",IF(M171="Esgotado","REVISAR STATUS COM SALDO",IF(N171="VENCIDO","SEGREGAR E AVALIAR DESTINAÇÃO",IF(OR(N171="CRÍTICO",N171="VENCE NA JANELA"),"PRIORIZAR FEFO","MANTER ROTAÇÃO"))))))))</x:f>
      </x:c>
      <x:c r="Q171" s="27"/>
      <x:c r="R171" s="181" t="str">
        <x:f>IF(A171="","",IF(OR(U171&gt;0,Listas!$B$13&lt;&gt;"OK"),"n.a.",IF(OR(N171="VENCIDO",N171="CRÍTICO",N171="VENCE NA JANELA",M171="Quarentena",M171="Bloqueado"),L171,0)))</x:f>
      </x:c>
      <x:c r="S171" s="163" t="str">
        <x:f>IF(COUNTA(A171:B171,D171:G171,I171,K171,M171,Q171,AB171:AD171)=0,"",IF(OR(A171="",COUNTIFS($A$5:$A$204,A171)&lt;&gt;1),"Lote ausente ou duplicado",IF(OR(B171="",COUNTIFS(Produtos!$A$5:$A$204,B171)&lt;&gt;1),"SKU ausente ou desconhecido",IF(COUNTIFS(Produtos!$A$5:$A$204,B171,Produtos!$R$5:$R$204,1)&gt;0,"Revisar cadastro do produto",IF(OR(NOT(ISNUMBER(E171)),E171&lt;=0,NOT(ISNUMBER(G171)),G171&lt;=0,G171&lt;E171),"Recebimento ou validade inválida",IF(AND(F171&lt;&gt;"",OR(NOT(ISNUMBER(F171)),F171&lt;=0,F171&gt;E171)),"Fabricação inválida ou posterior ao recebimento",IF(OR(NOT(ISNUMBER(K171)),K171&lt;0,NOT(ISNUMBER(I171)),I171&lt;0),"Quantidade recebida ou custo inválido",IF(AND(M171&lt;&gt;"Liberado",M171&lt;&gt;"Quarentena",M171&lt;&gt;"Bloqueado",M171&lt;&gt;"Esgotado"),"Status de lote inválido",""))))))))</x:f>
      </x:c>
      <x:c r="T171" s="163" t="n">
        <x:f>IF(A171="",0,COUNTIFS(Movimentacoes!$D$5:$D$304,A171,Movimentacoes!$P$5:$P$304,1))</x:f>
        <x:v>0</x:v>
      </x:c>
      <x:c r="U171" s="163" t="n">
        <x:f>IF(COUNTA(A171:B171,D171:G171,I171,K171,M171,Q171,AB171:AD171)=0,0,IF(OR(S171&lt;&gt;"",T171&gt;0),1,IF(ISNUMBER(J171),IF(OR(J171&lt;0,AND(J171&gt;0,M171="Esgotado")),1,0),0)))</x:f>
        <x:v>0</x:v>
      </x:c>
      <x:c r="V171" s="163" t="str">
        <x:f>IF(A171="","",IF(OR(U171&gt;0,Listas!$B$13&lt;&gt;"OK"),"n.a.",IF(AND(J171&gt;0,M171="Liberado",G171&gt;=Listas!$B$6),J171,0)))</x:f>
      </x:c>
      <x:c r="W171" s="163" t="str">
        <x:f>IF(A171="","",IF(OR(U171&gt;0,Listas!$B$13&lt;&gt;"OK"),"n.a.",V171*K171))</x:f>
      </x:c>
      <x:c r="X171" s="167" t="n">
        <x:f>IF(COUNTA(A171:B171,D171:G171,I171,K171,M171,Q171,AB171:AD171)=0,0,IF(OR(Listas!$B$19="Todos",B171=Listas!$B$19,COUNTIFS(Produtos!$A$5:$A$204,B171)&lt;&gt;1),1,0))</x:f>
        <x:v>0</x:v>
      </x:c>
      <x:c r="Y171" s="167" t="str">
        <x:f>IF(X171=0,"",IF(Listas!$B$13&lt;&gt;"OK","Revisar parâmetros",IF(U171&gt;0,IF(S171&lt;&gt;"",S171,IF(T171&gt;0,"Revisar movimentos",IF(AND(ISNUMBER(J171),J171&lt;0),"Saldo negativo","Status esgotado com saldo"))),IF(AG171&lt;&gt;"",AG171&amp;". ","")&amp;IF(J171&lt;=0,"",IF(N171="VENCIDO","Validade vencida. ","")&amp;IF(M171="Quarentena","Em quarentena. ","")&amp;IF(M171="Bloqueado","Lote bloqueado. ","")&amp;IF(N171="CRÍTICO","Validade crítica. ","")&amp;IF(N171="VENCE NA JANELA","Vence na janela. ","")))))</x:f>
      </x:c>
      <x:c r="Z171" s="167" t="n">
        <x:f>IF(OR(X171=0,Y171=""),0,IF(OR(Listas!$B$13&lt;&gt;"OK",U171&gt;0,AH171&gt;0),1,IF(N171="VENCIDO",2,IF(OR(M171="Quarentena",M171="Bloqueado"),3,IF(N171="CRÍTICO",4,5)))))</x:f>
        <x:v>0</x:v>
      </x:c>
      <x:c r="AA171" s="167" t="n">
        <x:f>IF(Z171=0,0,COUNTIFS($Z$5:$Z$204,"&gt;0",$Z$5:$Z$204,"&lt;"&amp;Z171,$X$5:$X$204,1)+COUNTIFS($Z$5:Z171,Z171,$X$5:X171,1))</x:f>
        <x:v>0</x:v>
      </x:c>
      <x:c r="AB171" s="168"/>
      <x:c r="AC171" s="168"/>
      <x:c r="AD171" s="169"/>
      <x:c r="AE171" s="167" t="str">
        <x:f>IF(X171=0,"",IF(OR(U171&gt;0,Listas!$B$13&lt;&gt;"OK"),"Dados pendentes",IF(J171&lt;=0,"Sem saldo",IF(N171="VENCIDO","Vencidos",IF(OR(M171="Quarentena",M171="Bloqueado"),"Restritos vigentes",IF(OR(N171="CRÍTICO",N171="VENCE NA JANELA"),"Liberados na janela","Demais liberados"))))))</x:f>
      </x:c>
      <x:c r="AF171" s="167" t="str">
        <x:f>IF(A171&lt;&gt;"",A171,IF(U171&gt;0,"Sem ID (linha "&amp;ROW()&amp;")",""))</x:f>
      </x:c>
      <x:c r="AG171" s="167" t="str">
        <x:f>IF(AD171="","",IF(OR(NOT(ISNUMBER(AD171)),AD171&lt;=0),"Prazo da ação inválido",""))</x:f>
      </x:c>
      <x:c r="AH171" s="167" t="n">
        <x:f>IF(AG171="",0,1)</x:f>
        <x:v>0</x:v>
      </x:c>
    </x:row>
    <x:row r="172" ht="32" customHeight="1">
      <x:c r="A172" s="27"/>
      <x:c r="B172" s="27"/>
      <x:c r="C172" s="40" t="str">
        <x:f>IF($B172="","",IFERROR(INDEX(Produtos!$B$5:$B$204,MATCH($B172,Produtos!$A$5:$A$204,0)),""))</x:f>
      </x:c>
      <x:c r="D172" s="170"/>
      <x:c r="E172" s="179"/>
      <x:c r="F172" s="179"/>
      <x:c r="G172" s="179"/>
      <x:c r="H172" s="40" t="str">
        <x:f>IF(A172="","",IF(OR(S172&lt;&gt;"",Listas!$B$13&lt;&gt;"OK"),"n.a.",G172-Listas!$B$6))</x:f>
      </x:c>
      <x:c r="I172" s="40"/>
      <x:c r="J172" s="40" t="str">
        <x:f>IF(A172="","",IF(OR(S172&lt;&gt;"",T172&gt;0,Listas!$B$13&lt;&gt;"OK"),"n.a.",SUMIFS(Movimentacoes!$H$5:$H$304,Movimentacoes!$D$5:$D$304,A172,Movimentacoes!$B$5:$B$304,"&lt;="&amp;Listas!$B$6)))</x:f>
      </x:c>
      <x:c r="K172" s="180"/>
      <x:c r="L172" s="181" t="str">
        <x:f>IF(A172="","",IF(OR(U172&gt;0,Listas!$B$13&lt;&gt;"OK"),"n.a.",J172*K172))</x:f>
      </x:c>
      <x:c r="M172" s="27"/>
      <x:c r="N172" s="40" t="str">
        <x:f>IF(A172="","",IF(OR(U172&gt;0,Listas!$B$13&lt;&gt;"OK"),"REVISAR DADOS",IF(J172=0,"SEM SALDO",IF(G172&lt;Listas!$B$6,"VENCIDO",IF(H172&lt;=Listas!$B$7,"CRÍTICO",IF(H172&lt;=Listas!$B$8,"VENCE NA JANELA","OK"))))))</x:f>
      </x:c>
      <x:c r="O172" s="41" t="str">
        <x:f>IF(A172="","",IF(AND(ISNUMBER(V172),V172&gt;0),G172,""))</x:f>
      </x:c>
      <x:c r="P172" s="40" t="str">
        <x:f>IF(A172="","",IF(OR(U172&gt;0,Listas!$B$13&lt;&gt;"OK"),"REVISAR DADOS",IF(J172=0,"ARQUIVAR LOTE",IF(M172="Quarentena","DECIDIR LIBERAÇÃO",IF(M172="Bloqueado","SEGREGAR E INVESTIGAR",IF(M172="Esgotado","REVISAR STATUS COM SALDO",IF(N172="VENCIDO","SEGREGAR E AVALIAR DESTINAÇÃO",IF(OR(N172="CRÍTICO",N172="VENCE NA JANELA"),"PRIORIZAR FEFO","MANTER ROTAÇÃO"))))))))</x:f>
      </x:c>
      <x:c r="Q172" s="27"/>
      <x:c r="R172" s="181" t="str">
        <x:f>IF(A172="","",IF(OR(U172&gt;0,Listas!$B$13&lt;&gt;"OK"),"n.a.",IF(OR(N172="VENCIDO",N172="CRÍTICO",N172="VENCE NA JANELA",M172="Quarentena",M172="Bloqueado"),L172,0)))</x:f>
      </x:c>
      <x:c r="S172" s="163" t="str">
        <x:f>IF(COUNTA(A172:B172,D172:G172,I172,K172,M172,Q172,AB172:AD172)=0,"",IF(OR(A172="",COUNTIFS($A$5:$A$204,A172)&lt;&gt;1),"Lote ausente ou duplicado",IF(OR(B172="",COUNTIFS(Produtos!$A$5:$A$204,B172)&lt;&gt;1),"SKU ausente ou desconhecido",IF(COUNTIFS(Produtos!$A$5:$A$204,B172,Produtos!$R$5:$R$204,1)&gt;0,"Revisar cadastro do produto",IF(OR(NOT(ISNUMBER(E172)),E172&lt;=0,NOT(ISNUMBER(G172)),G172&lt;=0,G172&lt;E172),"Recebimento ou validade inválida",IF(AND(F172&lt;&gt;"",OR(NOT(ISNUMBER(F172)),F172&lt;=0,F172&gt;E172)),"Fabricação inválida ou posterior ao recebimento",IF(OR(NOT(ISNUMBER(K172)),K172&lt;0,NOT(ISNUMBER(I172)),I172&lt;0),"Quantidade recebida ou custo inválido",IF(AND(M172&lt;&gt;"Liberado",M172&lt;&gt;"Quarentena",M172&lt;&gt;"Bloqueado",M172&lt;&gt;"Esgotado"),"Status de lote inválido",""))))))))</x:f>
      </x:c>
      <x:c r="T172" s="163" t="n">
        <x:f>IF(A172="",0,COUNTIFS(Movimentacoes!$D$5:$D$304,A172,Movimentacoes!$P$5:$P$304,1))</x:f>
        <x:v>0</x:v>
      </x:c>
      <x:c r="U172" s="163" t="n">
        <x:f>IF(COUNTA(A172:B172,D172:G172,I172,K172,M172,Q172,AB172:AD172)=0,0,IF(OR(S172&lt;&gt;"",T172&gt;0),1,IF(ISNUMBER(J172),IF(OR(J172&lt;0,AND(J172&gt;0,M172="Esgotado")),1,0),0)))</x:f>
        <x:v>0</x:v>
      </x:c>
      <x:c r="V172" s="163" t="str">
        <x:f>IF(A172="","",IF(OR(U172&gt;0,Listas!$B$13&lt;&gt;"OK"),"n.a.",IF(AND(J172&gt;0,M172="Liberado",G172&gt;=Listas!$B$6),J172,0)))</x:f>
      </x:c>
      <x:c r="W172" s="163" t="str">
        <x:f>IF(A172="","",IF(OR(U172&gt;0,Listas!$B$13&lt;&gt;"OK"),"n.a.",V172*K172))</x:f>
      </x:c>
      <x:c r="X172" s="167" t="n">
        <x:f>IF(COUNTA(A172:B172,D172:G172,I172,K172,M172,Q172,AB172:AD172)=0,0,IF(OR(Listas!$B$19="Todos",B172=Listas!$B$19,COUNTIFS(Produtos!$A$5:$A$204,B172)&lt;&gt;1),1,0))</x:f>
        <x:v>0</x:v>
      </x:c>
      <x:c r="Y172" s="167" t="str">
        <x:f>IF(X172=0,"",IF(Listas!$B$13&lt;&gt;"OK","Revisar parâmetros",IF(U172&gt;0,IF(S172&lt;&gt;"",S172,IF(T172&gt;0,"Revisar movimentos",IF(AND(ISNUMBER(J172),J172&lt;0),"Saldo negativo","Status esgotado com saldo"))),IF(AG172&lt;&gt;"",AG172&amp;". ","")&amp;IF(J172&lt;=0,"",IF(N172="VENCIDO","Validade vencida. ","")&amp;IF(M172="Quarentena","Em quarentena. ","")&amp;IF(M172="Bloqueado","Lote bloqueado. ","")&amp;IF(N172="CRÍTICO","Validade crítica. ","")&amp;IF(N172="VENCE NA JANELA","Vence na janela. ","")))))</x:f>
      </x:c>
      <x:c r="Z172" s="167" t="n">
        <x:f>IF(OR(X172=0,Y172=""),0,IF(OR(Listas!$B$13&lt;&gt;"OK",U172&gt;0,AH172&gt;0),1,IF(N172="VENCIDO",2,IF(OR(M172="Quarentena",M172="Bloqueado"),3,IF(N172="CRÍTICO",4,5)))))</x:f>
        <x:v>0</x:v>
      </x:c>
      <x:c r="AA172" s="167" t="n">
        <x:f>IF(Z172=0,0,COUNTIFS($Z$5:$Z$204,"&gt;0",$Z$5:$Z$204,"&lt;"&amp;Z172,$X$5:$X$204,1)+COUNTIFS($Z$5:Z172,Z172,$X$5:X172,1))</x:f>
        <x:v>0</x:v>
      </x:c>
      <x:c r="AB172" s="168"/>
      <x:c r="AC172" s="168"/>
      <x:c r="AD172" s="169"/>
      <x:c r="AE172" s="167" t="str">
        <x:f>IF(X172=0,"",IF(OR(U172&gt;0,Listas!$B$13&lt;&gt;"OK"),"Dados pendentes",IF(J172&lt;=0,"Sem saldo",IF(N172="VENCIDO","Vencidos",IF(OR(M172="Quarentena",M172="Bloqueado"),"Restritos vigentes",IF(OR(N172="CRÍTICO",N172="VENCE NA JANELA"),"Liberados na janela","Demais liberados"))))))</x:f>
      </x:c>
      <x:c r="AF172" s="167" t="str">
        <x:f>IF(A172&lt;&gt;"",A172,IF(U172&gt;0,"Sem ID (linha "&amp;ROW()&amp;")",""))</x:f>
      </x:c>
      <x:c r="AG172" s="167" t="str">
        <x:f>IF(AD172="","",IF(OR(NOT(ISNUMBER(AD172)),AD172&lt;=0),"Prazo da ação inválido",""))</x:f>
      </x:c>
      <x:c r="AH172" s="167" t="n">
        <x:f>IF(AG172="",0,1)</x:f>
        <x:v>0</x:v>
      </x:c>
    </x:row>
    <x:row r="173" ht="32" customHeight="1">
      <x:c r="A173" s="27"/>
      <x:c r="B173" s="27"/>
      <x:c r="C173" s="40" t="str">
        <x:f>IF($B173="","",IFERROR(INDEX(Produtos!$B$5:$B$204,MATCH($B173,Produtos!$A$5:$A$204,0)),""))</x:f>
      </x:c>
      <x:c r="D173" s="170"/>
      <x:c r="E173" s="179"/>
      <x:c r="F173" s="179"/>
      <x:c r="G173" s="179"/>
      <x:c r="H173" s="40" t="str">
        <x:f>IF(A173="","",IF(OR(S173&lt;&gt;"",Listas!$B$13&lt;&gt;"OK"),"n.a.",G173-Listas!$B$6))</x:f>
      </x:c>
      <x:c r="I173" s="40"/>
      <x:c r="J173" s="40" t="str">
        <x:f>IF(A173="","",IF(OR(S173&lt;&gt;"",T173&gt;0,Listas!$B$13&lt;&gt;"OK"),"n.a.",SUMIFS(Movimentacoes!$H$5:$H$304,Movimentacoes!$D$5:$D$304,A173,Movimentacoes!$B$5:$B$304,"&lt;="&amp;Listas!$B$6)))</x:f>
      </x:c>
      <x:c r="K173" s="180"/>
      <x:c r="L173" s="181" t="str">
        <x:f>IF(A173="","",IF(OR(U173&gt;0,Listas!$B$13&lt;&gt;"OK"),"n.a.",J173*K173))</x:f>
      </x:c>
      <x:c r="M173" s="27"/>
      <x:c r="N173" s="40" t="str">
        <x:f>IF(A173="","",IF(OR(U173&gt;0,Listas!$B$13&lt;&gt;"OK"),"REVISAR DADOS",IF(J173=0,"SEM SALDO",IF(G173&lt;Listas!$B$6,"VENCIDO",IF(H173&lt;=Listas!$B$7,"CRÍTICO",IF(H173&lt;=Listas!$B$8,"VENCE NA JANELA","OK"))))))</x:f>
      </x:c>
      <x:c r="O173" s="41" t="str">
        <x:f>IF(A173="","",IF(AND(ISNUMBER(V173),V173&gt;0),G173,""))</x:f>
      </x:c>
      <x:c r="P173" s="40" t="str">
        <x:f>IF(A173="","",IF(OR(U173&gt;0,Listas!$B$13&lt;&gt;"OK"),"REVISAR DADOS",IF(J173=0,"ARQUIVAR LOTE",IF(M173="Quarentena","DECIDIR LIBERAÇÃO",IF(M173="Bloqueado","SEGREGAR E INVESTIGAR",IF(M173="Esgotado","REVISAR STATUS COM SALDO",IF(N173="VENCIDO","SEGREGAR E AVALIAR DESTINAÇÃO",IF(OR(N173="CRÍTICO",N173="VENCE NA JANELA"),"PRIORIZAR FEFO","MANTER ROTAÇÃO"))))))))</x:f>
      </x:c>
      <x:c r="Q173" s="27"/>
      <x:c r="R173" s="181" t="str">
        <x:f>IF(A173="","",IF(OR(U173&gt;0,Listas!$B$13&lt;&gt;"OK"),"n.a.",IF(OR(N173="VENCIDO",N173="CRÍTICO",N173="VENCE NA JANELA",M173="Quarentena",M173="Bloqueado"),L173,0)))</x:f>
      </x:c>
      <x:c r="S173" s="163" t="str">
        <x:f>IF(COUNTA(A173:B173,D173:G173,I173,K173,M173,Q173,AB173:AD173)=0,"",IF(OR(A173="",COUNTIFS($A$5:$A$204,A173)&lt;&gt;1),"Lote ausente ou duplicado",IF(OR(B173="",COUNTIFS(Produtos!$A$5:$A$204,B173)&lt;&gt;1),"SKU ausente ou desconhecido",IF(COUNTIFS(Produtos!$A$5:$A$204,B173,Produtos!$R$5:$R$204,1)&gt;0,"Revisar cadastro do produto",IF(OR(NOT(ISNUMBER(E173)),E173&lt;=0,NOT(ISNUMBER(G173)),G173&lt;=0,G173&lt;E173),"Recebimento ou validade inválida",IF(AND(F173&lt;&gt;"",OR(NOT(ISNUMBER(F173)),F173&lt;=0,F173&gt;E173)),"Fabricação inválida ou posterior ao recebimento",IF(OR(NOT(ISNUMBER(K173)),K173&lt;0,NOT(ISNUMBER(I173)),I173&lt;0),"Quantidade recebida ou custo inválido",IF(AND(M173&lt;&gt;"Liberado",M173&lt;&gt;"Quarentena",M173&lt;&gt;"Bloqueado",M173&lt;&gt;"Esgotado"),"Status de lote inválido",""))))))))</x:f>
      </x:c>
      <x:c r="T173" s="163" t="n">
        <x:f>IF(A173="",0,COUNTIFS(Movimentacoes!$D$5:$D$304,A173,Movimentacoes!$P$5:$P$304,1))</x:f>
        <x:v>0</x:v>
      </x:c>
      <x:c r="U173" s="163" t="n">
        <x:f>IF(COUNTA(A173:B173,D173:G173,I173,K173,M173,Q173,AB173:AD173)=0,0,IF(OR(S173&lt;&gt;"",T173&gt;0),1,IF(ISNUMBER(J173),IF(OR(J173&lt;0,AND(J173&gt;0,M173="Esgotado")),1,0),0)))</x:f>
        <x:v>0</x:v>
      </x:c>
      <x:c r="V173" s="163" t="str">
        <x:f>IF(A173="","",IF(OR(U173&gt;0,Listas!$B$13&lt;&gt;"OK"),"n.a.",IF(AND(J173&gt;0,M173="Liberado",G173&gt;=Listas!$B$6),J173,0)))</x:f>
      </x:c>
      <x:c r="W173" s="163" t="str">
        <x:f>IF(A173="","",IF(OR(U173&gt;0,Listas!$B$13&lt;&gt;"OK"),"n.a.",V173*K173))</x:f>
      </x:c>
      <x:c r="X173" s="167" t="n">
        <x:f>IF(COUNTA(A173:B173,D173:G173,I173,K173,M173,Q173,AB173:AD173)=0,0,IF(OR(Listas!$B$19="Todos",B173=Listas!$B$19,COUNTIFS(Produtos!$A$5:$A$204,B173)&lt;&gt;1),1,0))</x:f>
        <x:v>0</x:v>
      </x:c>
      <x:c r="Y173" s="167" t="str">
        <x:f>IF(X173=0,"",IF(Listas!$B$13&lt;&gt;"OK","Revisar parâmetros",IF(U173&gt;0,IF(S173&lt;&gt;"",S173,IF(T173&gt;0,"Revisar movimentos",IF(AND(ISNUMBER(J173),J173&lt;0),"Saldo negativo","Status esgotado com saldo"))),IF(AG173&lt;&gt;"",AG173&amp;". ","")&amp;IF(J173&lt;=0,"",IF(N173="VENCIDO","Validade vencida. ","")&amp;IF(M173="Quarentena","Em quarentena. ","")&amp;IF(M173="Bloqueado","Lote bloqueado. ","")&amp;IF(N173="CRÍTICO","Validade crítica. ","")&amp;IF(N173="VENCE NA JANELA","Vence na janela. ","")))))</x:f>
      </x:c>
      <x:c r="Z173" s="167" t="n">
        <x:f>IF(OR(X173=0,Y173=""),0,IF(OR(Listas!$B$13&lt;&gt;"OK",U173&gt;0,AH173&gt;0),1,IF(N173="VENCIDO",2,IF(OR(M173="Quarentena",M173="Bloqueado"),3,IF(N173="CRÍTICO",4,5)))))</x:f>
        <x:v>0</x:v>
      </x:c>
      <x:c r="AA173" s="167" t="n">
        <x:f>IF(Z173=0,0,COUNTIFS($Z$5:$Z$204,"&gt;0",$Z$5:$Z$204,"&lt;"&amp;Z173,$X$5:$X$204,1)+COUNTIFS($Z$5:Z173,Z173,$X$5:X173,1))</x:f>
        <x:v>0</x:v>
      </x:c>
      <x:c r="AB173" s="168"/>
      <x:c r="AC173" s="168"/>
      <x:c r="AD173" s="169"/>
      <x:c r="AE173" s="167" t="str">
        <x:f>IF(X173=0,"",IF(OR(U173&gt;0,Listas!$B$13&lt;&gt;"OK"),"Dados pendentes",IF(J173&lt;=0,"Sem saldo",IF(N173="VENCIDO","Vencidos",IF(OR(M173="Quarentena",M173="Bloqueado"),"Restritos vigentes",IF(OR(N173="CRÍTICO",N173="VENCE NA JANELA"),"Liberados na janela","Demais liberados"))))))</x:f>
      </x:c>
      <x:c r="AF173" s="167" t="str">
        <x:f>IF(A173&lt;&gt;"",A173,IF(U173&gt;0,"Sem ID (linha "&amp;ROW()&amp;")",""))</x:f>
      </x:c>
      <x:c r="AG173" s="167" t="str">
        <x:f>IF(AD173="","",IF(OR(NOT(ISNUMBER(AD173)),AD173&lt;=0),"Prazo da ação inválido",""))</x:f>
      </x:c>
      <x:c r="AH173" s="167" t="n">
        <x:f>IF(AG173="",0,1)</x:f>
        <x:v>0</x:v>
      </x:c>
    </x:row>
    <x:row r="174" ht="32" customHeight="1">
      <x:c r="A174" s="27"/>
      <x:c r="B174" s="27"/>
      <x:c r="C174" s="40" t="str">
        <x:f>IF($B174="","",IFERROR(INDEX(Produtos!$B$5:$B$204,MATCH($B174,Produtos!$A$5:$A$204,0)),""))</x:f>
      </x:c>
      <x:c r="D174" s="170"/>
      <x:c r="E174" s="179"/>
      <x:c r="F174" s="179"/>
      <x:c r="G174" s="179"/>
      <x:c r="H174" s="40" t="str">
        <x:f>IF(A174="","",IF(OR(S174&lt;&gt;"",Listas!$B$13&lt;&gt;"OK"),"n.a.",G174-Listas!$B$6))</x:f>
      </x:c>
      <x:c r="I174" s="40"/>
      <x:c r="J174" s="40" t="str">
        <x:f>IF(A174="","",IF(OR(S174&lt;&gt;"",T174&gt;0,Listas!$B$13&lt;&gt;"OK"),"n.a.",SUMIFS(Movimentacoes!$H$5:$H$304,Movimentacoes!$D$5:$D$304,A174,Movimentacoes!$B$5:$B$304,"&lt;="&amp;Listas!$B$6)))</x:f>
      </x:c>
      <x:c r="K174" s="180"/>
      <x:c r="L174" s="181" t="str">
        <x:f>IF(A174="","",IF(OR(U174&gt;0,Listas!$B$13&lt;&gt;"OK"),"n.a.",J174*K174))</x:f>
      </x:c>
      <x:c r="M174" s="27"/>
      <x:c r="N174" s="40" t="str">
        <x:f>IF(A174="","",IF(OR(U174&gt;0,Listas!$B$13&lt;&gt;"OK"),"REVISAR DADOS",IF(J174=0,"SEM SALDO",IF(G174&lt;Listas!$B$6,"VENCIDO",IF(H174&lt;=Listas!$B$7,"CRÍTICO",IF(H174&lt;=Listas!$B$8,"VENCE NA JANELA","OK"))))))</x:f>
      </x:c>
      <x:c r="O174" s="41" t="str">
        <x:f>IF(A174="","",IF(AND(ISNUMBER(V174),V174&gt;0),G174,""))</x:f>
      </x:c>
      <x:c r="P174" s="40" t="str">
        <x:f>IF(A174="","",IF(OR(U174&gt;0,Listas!$B$13&lt;&gt;"OK"),"REVISAR DADOS",IF(J174=0,"ARQUIVAR LOTE",IF(M174="Quarentena","DECIDIR LIBERAÇÃO",IF(M174="Bloqueado","SEGREGAR E INVESTIGAR",IF(M174="Esgotado","REVISAR STATUS COM SALDO",IF(N174="VENCIDO","SEGREGAR E AVALIAR DESTINAÇÃO",IF(OR(N174="CRÍTICO",N174="VENCE NA JANELA"),"PRIORIZAR FEFO","MANTER ROTAÇÃO"))))))))</x:f>
      </x:c>
      <x:c r="Q174" s="27"/>
      <x:c r="R174" s="181" t="str">
        <x:f>IF(A174="","",IF(OR(U174&gt;0,Listas!$B$13&lt;&gt;"OK"),"n.a.",IF(OR(N174="VENCIDO",N174="CRÍTICO",N174="VENCE NA JANELA",M174="Quarentena",M174="Bloqueado"),L174,0)))</x:f>
      </x:c>
      <x:c r="S174" s="163" t="str">
        <x:f>IF(COUNTA(A174:B174,D174:G174,I174,K174,M174,Q174,AB174:AD174)=0,"",IF(OR(A174="",COUNTIFS($A$5:$A$204,A174)&lt;&gt;1),"Lote ausente ou duplicado",IF(OR(B174="",COUNTIFS(Produtos!$A$5:$A$204,B174)&lt;&gt;1),"SKU ausente ou desconhecido",IF(COUNTIFS(Produtos!$A$5:$A$204,B174,Produtos!$R$5:$R$204,1)&gt;0,"Revisar cadastro do produto",IF(OR(NOT(ISNUMBER(E174)),E174&lt;=0,NOT(ISNUMBER(G174)),G174&lt;=0,G174&lt;E174),"Recebimento ou validade inválida",IF(AND(F174&lt;&gt;"",OR(NOT(ISNUMBER(F174)),F174&lt;=0,F174&gt;E174)),"Fabricação inválida ou posterior ao recebimento",IF(OR(NOT(ISNUMBER(K174)),K174&lt;0,NOT(ISNUMBER(I174)),I174&lt;0),"Quantidade recebida ou custo inválido",IF(AND(M174&lt;&gt;"Liberado",M174&lt;&gt;"Quarentena",M174&lt;&gt;"Bloqueado",M174&lt;&gt;"Esgotado"),"Status de lote inválido",""))))))))</x:f>
      </x:c>
      <x:c r="T174" s="163" t="n">
        <x:f>IF(A174="",0,COUNTIFS(Movimentacoes!$D$5:$D$304,A174,Movimentacoes!$P$5:$P$304,1))</x:f>
        <x:v>0</x:v>
      </x:c>
      <x:c r="U174" s="163" t="n">
        <x:f>IF(COUNTA(A174:B174,D174:G174,I174,K174,M174,Q174,AB174:AD174)=0,0,IF(OR(S174&lt;&gt;"",T174&gt;0),1,IF(ISNUMBER(J174),IF(OR(J174&lt;0,AND(J174&gt;0,M174="Esgotado")),1,0),0)))</x:f>
        <x:v>0</x:v>
      </x:c>
      <x:c r="V174" s="163" t="str">
        <x:f>IF(A174="","",IF(OR(U174&gt;0,Listas!$B$13&lt;&gt;"OK"),"n.a.",IF(AND(J174&gt;0,M174="Liberado",G174&gt;=Listas!$B$6),J174,0)))</x:f>
      </x:c>
      <x:c r="W174" s="163" t="str">
        <x:f>IF(A174="","",IF(OR(U174&gt;0,Listas!$B$13&lt;&gt;"OK"),"n.a.",V174*K174))</x:f>
      </x:c>
      <x:c r="X174" s="167" t="n">
        <x:f>IF(COUNTA(A174:B174,D174:G174,I174,K174,M174,Q174,AB174:AD174)=0,0,IF(OR(Listas!$B$19="Todos",B174=Listas!$B$19,COUNTIFS(Produtos!$A$5:$A$204,B174)&lt;&gt;1),1,0))</x:f>
        <x:v>0</x:v>
      </x:c>
      <x:c r="Y174" s="167" t="str">
        <x:f>IF(X174=0,"",IF(Listas!$B$13&lt;&gt;"OK","Revisar parâmetros",IF(U174&gt;0,IF(S174&lt;&gt;"",S174,IF(T174&gt;0,"Revisar movimentos",IF(AND(ISNUMBER(J174),J174&lt;0),"Saldo negativo","Status esgotado com saldo"))),IF(AG174&lt;&gt;"",AG174&amp;". ","")&amp;IF(J174&lt;=0,"",IF(N174="VENCIDO","Validade vencida. ","")&amp;IF(M174="Quarentena","Em quarentena. ","")&amp;IF(M174="Bloqueado","Lote bloqueado. ","")&amp;IF(N174="CRÍTICO","Validade crítica. ","")&amp;IF(N174="VENCE NA JANELA","Vence na janela. ","")))))</x:f>
      </x:c>
      <x:c r="Z174" s="167" t="n">
        <x:f>IF(OR(X174=0,Y174=""),0,IF(OR(Listas!$B$13&lt;&gt;"OK",U174&gt;0,AH174&gt;0),1,IF(N174="VENCIDO",2,IF(OR(M174="Quarentena",M174="Bloqueado"),3,IF(N174="CRÍTICO",4,5)))))</x:f>
        <x:v>0</x:v>
      </x:c>
      <x:c r="AA174" s="167" t="n">
        <x:f>IF(Z174=0,0,COUNTIFS($Z$5:$Z$204,"&gt;0",$Z$5:$Z$204,"&lt;"&amp;Z174,$X$5:$X$204,1)+COUNTIFS($Z$5:Z174,Z174,$X$5:X174,1))</x:f>
        <x:v>0</x:v>
      </x:c>
      <x:c r="AB174" s="168"/>
      <x:c r="AC174" s="168"/>
      <x:c r="AD174" s="169"/>
      <x:c r="AE174" s="167" t="str">
        <x:f>IF(X174=0,"",IF(OR(U174&gt;0,Listas!$B$13&lt;&gt;"OK"),"Dados pendentes",IF(J174&lt;=0,"Sem saldo",IF(N174="VENCIDO","Vencidos",IF(OR(M174="Quarentena",M174="Bloqueado"),"Restritos vigentes",IF(OR(N174="CRÍTICO",N174="VENCE NA JANELA"),"Liberados na janela","Demais liberados"))))))</x:f>
      </x:c>
      <x:c r="AF174" s="167" t="str">
        <x:f>IF(A174&lt;&gt;"",A174,IF(U174&gt;0,"Sem ID (linha "&amp;ROW()&amp;")",""))</x:f>
      </x:c>
      <x:c r="AG174" s="167" t="str">
        <x:f>IF(AD174="","",IF(OR(NOT(ISNUMBER(AD174)),AD174&lt;=0),"Prazo da ação inválido",""))</x:f>
      </x:c>
      <x:c r="AH174" s="167" t="n">
        <x:f>IF(AG174="",0,1)</x:f>
        <x:v>0</x:v>
      </x:c>
    </x:row>
    <x:row r="175" ht="32" customHeight="1">
      <x:c r="A175" s="27"/>
      <x:c r="B175" s="27"/>
      <x:c r="C175" s="40" t="str">
        <x:f>IF($B175="","",IFERROR(INDEX(Produtos!$B$5:$B$204,MATCH($B175,Produtos!$A$5:$A$204,0)),""))</x:f>
      </x:c>
      <x:c r="D175" s="170"/>
      <x:c r="E175" s="179"/>
      <x:c r="F175" s="179"/>
      <x:c r="G175" s="179"/>
      <x:c r="H175" s="40" t="str">
        <x:f>IF(A175="","",IF(OR(S175&lt;&gt;"",Listas!$B$13&lt;&gt;"OK"),"n.a.",G175-Listas!$B$6))</x:f>
      </x:c>
      <x:c r="I175" s="40"/>
      <x:c r="J175" s="40" t="str">
        <x:f>IF(A175="","",IF(OR(S175&lt;&gt;"",T175&gt;0,Listas!$B$13&lt;&gt;"OK"),"n.a.",SUMIFS(Movimentacoes!$H$5:$H$304,Movimentacoes!$D$5:$D$304,A175,Movimentacoes!$B$5:$B$304,"&lt;="&amp;Listas!$B$6)))</x:f>
      </x:c>
      <x:c r="K175" s="180"/>
      <x:c r="L175" s="181" t="str">
        <x:f>IF(A175="","",IF(OR(U175&gt;0,Listas!$B$13&lt;&gt;"OK"),"n.a.",J175*K175))</x:f>
      </x:c>
      <x:c r="M175" s="27"/>
      <x:c r="N175" s="40" t="str">
        <x:f>IF(A175="","",IF(OR(U175&gt;0,Listas!$B$13&lt;&gt;"OK"),"REVISAR DADOS",IF(J175=0,"SEM SALDO",IF(G175&lt;Listas!$B$6,"VENCIDO",IF(H175&lt;=Listas!$B$7,"CRÍTICO",IF(H175&lt;=Listas!$B$8,"VENCE NA JANELA","OK"))))))</x:f>
      </x:c>
      <x:c r="O175" s="41" t="str">
        <x:f>IF(A175="","",IF(AND(ISNUMBER(V175),V175&gt;0),G175,""))</x:f>
      </x:c>
      <x:c r="P175" s="40" t="str">
        <x:f>IF(A175="","",IF(OR(U175&gt;0,Listas!$B$13&lt;&gt;"OK"),"REVISAR DADOS",IF(J175=0,"ARQUIVAR LOTE",IF(M175="Quarentena","DECIDIR LIBERAÇÃO",IF(M175="Bloqueado","SEGREGAR E INVESTIGAR",IF(M175="Esgotado","REVISAR STATUS COM SALDO",IF(N175="VENCIDO","SEGREGAR E AVALIAR DESTINAÇÃO",IF(OR(N175="CRÍTICO",N175="VENCE NA JANELA"),"PRIORIZAR FEFO","MANTER ROTAÇÃO"))))))))</x:f>
      </x:c>
      <x:c r="Q175" s="27"/>
      <x:c r="R175" s="181" t="str">
        <x:f>IF(A175="","",IF(OR(U175&gt;0,Listas!$B$13&lt;&gt;"OK"),"n.a.",IF(OR(N175="VENCIDO",N175="CRÍTICO",N175="VENCE NA JANELA",M175="Quarentena",M175="Bloqueado"),L175,0)))</x:f>
      </x:c>
      <x:c r="S175" s="163" t="str">
        <x:f>IF(COUNTA(A175:B175,D175:G175,I175,K175,M175,Q175,AB175:AD175)=0,"",IF(OR(A175="",COUNTIFS($A$5:$A$204,A175)&lt;&gt;1),"Lote ausente ou duplicado",IF(OR(B175="",COUNTIFS(Produtos!$A$5:$A$204,B175)&lt;&gt;1),"SKU ausente ou desconhecido",IF(COUNTIFS(Produtos!$A$5:$A$204,B175,Produtos!$R$5:$R$204,1)&gt;0,"Revisar cadastro do produto",IF(OR(NOT(ISNUMBER(E175)),E175&lt;=0,NOT(ISNUMBER(G175)),G175&lt;=0,G175&lt;E175),"Recebimento ou validade inválida",IF(AND(F175&lt;&gt;"",OR(NOT(ISNUMBER(F175)),F175&lt;=0,F175&gt;E175)),"Fabricação inválida ou posterior ao recebimento",IF(OR(NOT(ISNUMBER(K175)),K175&lt;0,NOT(ISNUMBER(I175)),I175&lt;0),"Quantidade recebida ou custo inválido",IF(AND(M175&lt;&gt;"Liberado",M175&lt;&gt;"Quarentena",M175&lt;&gt;"Bloqueado",M175&lt;&gt;"Esgotado"),"Status de lote inválido",""))))))))</x:f>
      </x:c>
      <x:c r="T175" s="163" t="n">
        <x:f>IF(A175="",0,COUNTIFS(Movimentacoes!$D$5:$D$304,A175,Movimentacoes!$P$5:$P$304,1))</x:f>
        <x:v>0</x:v>
      </x:c>
      <x:c r="U175" s="163" t="n">
        <x:f>IF(COUNTA(A175:B175,D175:G175,I175,K175,M175,Q175,AB175:AD175)=0,0,IF(OR(S175&lt;&gt;"",T175&gt;0),1,IF(ISNUMBER(J175),IF(OR(J175&lt;0,AND(J175&gt;0,M175="Esgotado")),1,0),0)))</x:f>
        <x:v>0</x:v>
      </x:c>
      <x:c r="V175" s="163" t="str">
        <x:f>IF(A175="","",IF(OR(U175&gt;0,Listas!$B$13&lt;&gt;"OK"),"n.a.",IF(AND(J175&gt;0,M175="Liberado",G175&gt;=Listas!$B$6),J175,0)))</x:f>
      </x:c>
      <x:c r="W175" s="163" t="str">
        <x:f>IF(A175="","",IF(OR(U175&gt;0,Listas!$B$13&lt;&gt;"OK"),"n.a.",V175*K175))</x:f>
      </x:c>
      <x:c r="X175" s="167" t="n">
        <x:f>IF(COUNTA(A175:B175,D175:G175,I175,K175,M175,Q175,AB175:AD175)=0,0,IF(OR(Listas!$B$19="Todos",B175=Listas!$B$19,COUNTIFS(Produtos!$A$5:$A$204,B175)&lt;&gt;1),1,0))</x:f>
        <x:v>0</x:v>
      </x:c>
      <x:c r="Y175" s="167" t="str">
        <x:f>IF(X175=0,"",IF(Listas!$B$13&lt;&gt;"OK","Revisar parâmetros",IF(U175&gt;0,IF(S175&lt;&gt;"",S175,IF(T175&gt;0,"Revisar movimentos",IF(AND(ISNUMBER(J175),J175&lt;0),"Saldo negativo","Status esgotado com saldo"))),IF(AG175&lt;&gt;"",AG175&amp;". ","")&amp;IF(J175&lt;=0,"",IF(N175="VENCIDO","Validade vencida. ","")&amp;IF(M175="Quarentena","Em quarentena. ","")&amp;IF(M175="Bloqueado","Lote bloqueado. ","")&amp;IF(N175="CRÍTICO","Validade crítica. ","")&amp;IF(N175="VENCE NA JANELA","Vence na janela. ","")))))</x:f>
      </x:c>
      <x:c r="Z175" s="167" t="n">
        <x:f>IF(OR(X175=0,Y175=""),0,IF(OR(Listas!$B$13&lt;&gt;"OK",U175&gt;0,AH175&gt;0),1,IF(N175="VENCIDO",2,IF(OR(M175="Quarentena",M175="Bloqueado"),3,IF(N175="CRÍTICO",4,5)))))</x:f>
        <x:v>0</x:v>
      </x:c>
      <x:c r="AA175" s="167" t="n">
        <x:f>IF(Z175=0,0,COUNTIFS($Z$5:$Z$204,"&gt;0",$Z$5:$Z$204,"&lt;"&amp;Z175,$X$5:$X$204,1)+COUNTIFS($Z$5:Z175,Z175,$X$5:X175,1))</x:f>
        <x:v>0</x:v>
      </x:c>
      <x:c r="AB175" s="168"/>
      <x:c r="AC175" s="168"/>
      <x:c r="AD175" s="169"/>
      <x:c r="AE175" s="167" t="str">
        <x:f>IF(X175=0,"",IF(OR(U175&gt;0,Listas!$B$13&lt;&gt;"OK"),"Dados pendentes",IF(J175&lt;=0,"Sem saldo",IF(N175="VENCIDO","Vencidos",IF(OR(M175="Quarentena",M175="Bloqueado"),"Restritos vigentes",IF(OR(N175="CRÍTICO",N175="VENCE NA JANELA"),"Liberados na janela","Demais liberados"))))))</x:f>
      </x:c>
      <x:c r="AF175" s="167" t="str">
        <x:f>IF(A175&lt;&gt;"",A175,IF(U175&gt;0,"Sem ID (linha "&amp;ROW()&amp;")",""))</x:f>
      </x:c>
      <x:c r="AG175" s="167" t="str">
        <x:f>IF(AD175="","",IF(OR(NOT(ISNUMBER(AD175)),AD175&lt;=0),"Prazo da ação inválido",""))</x:f>
      </x:c>
      <x:c r="AH175" s="167" t="n">
        <x:f>IF(AG175="",0,1)</x:f>
        <x:v>0</x:v>
      </x:c>
    </x:row>
    <x:row r="176" ht="32" customHeight="1">
      <x:c r="A176" s="27"/>
      <x:c r="B176" s="27"/>
      <x:c r="C176" s="40" t="str">
        <x:f>IF($B176="","",IFERROR(INDEX(Produtos!$B$5:$B$204,MATCH($B176,Produtos!$A$5:$A$204,0)),""))</x:f>
      </x:c>
      <x:c r="D176" s="170"/>
      <x:c r="E176" s="179"/>
      <x:c r="F176" s="179"/>
      <x:c r="G176" s="179"/>
      <x:c r="H176" s="40" t="str">
        <x:f>IF(A176="","",IF(OR(S176&lt;&gt;"",Listas!$B$13&lt;&gt;"OK"),"n.a.",G176-Listas!$B$6))</x:f>
      </x:c>
      <x:c r="I176" s="40"/>
      <x:c r="J176" s="40" t="str">
        <x:f>IF(A176="","",IF(OR(S176&lt;&gt;"",T176&gt;0,Listas!$B$13&lt;&gt;"OK"),"n.a.",SUMIFS(Movimentacoes!$H$5:$H$304,Movimentacoes!$D$5:$D$304,A176,Movimentacoes!$B$5:$B$304,"&lt;="&amp;Listas!$B$6)))</x:f>
      </x:c>
      <x:c r="K176" s="180"/>
      <x:c r="L176" s="181" t="str">
        <x:f>IF(A176="","",IF(OR(U176&gt;0,Listas!$B$13&lt;&gt;"OK"),"n.a.",J176*K176))</x:f>
      </x:c>
      <x:c r="M176" s="27"/>
      <x:c r="N176" s="40" t="str">
        <x:f>IF(A176="","",IF(OR(U176&gt;0,Listas!$B$13&lt;&gt;"OK"),"REVISAR DADOS",IF(J176=0,"SEM SALDO",IF(G176&lt;Listas!$B$6,"VENCIDO",IF(H176&lt;=Listas!$B$7,"CRÍTICO",IF(H176&lt;=Listas!$B$8,"VENCE NA JANELA","OK"))))))</x:f>
      </x:c>
      <x:c r="O176" s="41" t="str">
        <x:f>IF(A176="","",IF(AND(ISNUMBER(V176),V176&gt;0),G176,""))</x:f>
      </x:c>
      <x:c r="P176" s="40" t="str">
        <x:f>IF(A176="","",IF(OR(U176&gt;0,Listas!$B$13&lt;&gt;"OK"),"REVISAR DADOS",IF(J176=0,"ARQUIVAR LOTE",IF(M176="Quarentena","DECIDIR LIBERAÇÃO",IF(M176="Bloqueado","SEGREGAR E INVESTIGAR",IF(M176="Esgotado","REVISAR STATUS COM SALDO",IF(N176="VENCIDO","SEGREGAR E AVALIAR DESTINAÇÃO",IF(OR(N176="CRÍTICO",N176="VENCE NA JANELA"),"PRIORIZAR FEFO","MANTER ROTAÇÃO"))))))))</x:f>
      </x:c>
      <x:c r="Q176" s="27"/>
      <x:c r="R176" s="181" t="str">
        <x:f>IF(A176="","",IF(OR(U176&gt;0,Listas!$B$13&lt;&gt;"OK"),"n.a.",IF(OR(N176="VENCIDO",N176="CRÍTICO",N176="VENCE NA JANELA",M176="Quarentena",M176="Bloqueado"),L176,0)))</x:f>
      </x:c>
      <x:c r="S176" s="163" t="str">
        <x:f>IF(COUNTA(A176:B176,D176:G176,I176,K176,M176,Q176,AB176:AD176)=0,"",IF(OR(A176="",COUNTIFS($A$5:$A$204,A176)&lt;&gt;1),"Lote ausente ou duplicado",IF(OR(B176="",COUNTIFS(Produtos!$A$5:$A$204,B176)&lt;&gt;1),"SKU ausente ou desconhecido",IF(COUNTIFS(Produtos!$A$5:$A$204,B176,Produtos!$R$5:$R$204,1)&gt;0,"Revisar cadastro do produto",IF(OR(NOT(ISNUMBER(E176)),E176&lt;=0,NOT(ISNUMBER(G176)),G176&lt;=0,G176&lt;E176),"Recebimento ou validade inválida",IF(AND(F176&lt;&gt;"",OR(NOT(ISNUMBER(F176)),F176&lt;=0,F176&gt;E176)),"Fabricação inválida ou posterior ao recebimento",IF(OR(NOT(ISNUMBER(K176)),K176&lt;0,NOT(ISNUMBER(I176)),I176&lt;0),"Quantidade recebida ou custo inválido",IF(AND(M176&lt;&gt;"Liberado",M176&lt;&gt;"Quarentena",M176&lt;&gt;"Bloqueado",M176&lt;&gt;"Esgotado"),"Status de lote inválido",""))))))))</x:f>
      </x:c>
      <x:c r="T176" s="163" t="n">
        <x:f>IF(A176="",0,COUNTIFS(Movimentacoes!$D$5:$D$304,A176,Movimentacoes!$P$5:$P$304,1))</x:f>
        <x:v>0</x:v>
      </x:c>
      <x:c r="U176" s="163" t="n">
        <x:f>IF(COUNTA(A176:B176,D176:G176,I176,K176,M176,Q176,AB176:AD176)=0,0,IF(OR(S176&lt;&gt;"",T176&gt;0),1,IF(ISNUMBER(J176),IF(OR(J176&lt;0,AND(J176&gt;0,M176="Esgotado")),1,0),0)))</x:f>
        <x:v>0</x:v>
      </x:c>
      <x:c r="V176" s="163" t="str">
        <x:f>IF(A176="","",IF(OR(U176&gt;0,Listas!$B$13&lt;&gt;"OK"),"n.a.",IF(AND(J176&gt;0,M176="Liberado",G176&gt;=Listas!$B$6),J176,0)))</x:f>
      </x:c>
      <x:c r="W176" s="163" t="str">
        <x:f>IF(A176="","",IF(OR(U176&gt;0,Listas!$B$13&lt;&gt;"OK"),"n.a.",V176*K176))</x:f>
      </x:c>
      <x:c r="X176" s="167" t="n">
        <x:f>IF(COUNTA(A176:B176,D176:G176,I176,K176,M176,Q176,AB176:AD176)=0,0,IF(OR(Listas!$B$19="Todos",B176=Listas!$B$19,COUNTIFS(Produtos!$A$5:$A$204,B176)&lt;&gt;1),1,0))</x:f>
        <x:v>0</x:v>
      </x:c>
      <x:c r="Y176" s="167" t="str">
        <x:f>IF(X176=0,"",IF(Listas!$B$13&lt;&gt;"OK","Revisar parâmetros",IF(U176&gt;0,IF(S176&lt;&gt;"",S176,IF(T176&gt;0,"Revisar movimentos",IF(AND(ISNUMBER(J176),J176&lt;0),"Saldo negativo","Status esgotado com saldo"))),IF(AG176&lt;&gt;"",AG176&amp;". ","")&amp;IF(J176&lt;=0,"",IF(N176="VENCIDO","Validade vencida. ","")&amp;IF(M176="Quarentena","Em quarentena. ","")&amp;IF(M176="Bloqueado","Lote bloqueado. ","")&amp;IF(N176="CRÍTICO","Validade crítica. ","")&amp;IF(N176="VENCE NA JANELA","Vence na janela. ","")))))</x:f>
      </x:c>
      <x:c r="Z176" s="167" t="n">
        <x:f>IF(OR(X176=0,Y176=""),0,IF(OR(Listas!$B$13&lt;&gt;"OK",U176&gt;0,AH176&gt;0),1,IF(N176="VENCIDO",2,IF(OR(M176="Quarentena",M176="Bloqueado"),3,IF(N176="CRÍTICO",4,5)))))</x:f>
        <x:v>0</x:v>
      </x:c>
      <x:c r="AA176" s="167" t="n">
        <x:f>IF(Z176=0,0,COUNTIFS($Z$5:$Z$204,"&gt;0",$Z$5:$Z$204,"&lt;"&amp;Z176,$X$5:$X$204,1)+COUNTIFS($Z$5:Z176,Z176,$X$5:X176,1))</x:f>
        <x:v>0</x:v>
      </x:c>
      <x:c r="AB176" s="168"/>
      <x:c r="AC176" s="168"/>
      <x:c r="AD176" s="169"/>
      <x:c r="AE176" s="167" t="str">
        <x:f>IF(X176=0,"",IF(OR(U176&gt;0,Listas!$B$13&lt;&gt;"OK"),"Dados pendentes",IF(J176&lt;=0,"Sem saldo",IF(N176="VENCIDO","Vencidos",IF(OR(M176="Quarentena",M176="Bloqueado"),"Restritos vigentes",IF(OR(N176="CRÍTICO",N176="VENCE NA JANELA"),"Liberados na janela","Demais liberados"))))))</x:f>
      </x:c>
      <x:c r="AF176" s="167" t="str">
        <x:f>IF(A176&lt;&gt;"",A176,IF(U176&gt;0,"Sem ID (linha "&amp;ROW()&amp;")",""))</x:f>
      </x:c>
      <x:c r="AG176" s="167" t="str">
        <x:f>IF(AD176="","",IF(OR(NOT(ISNUMBER(AD176)),AD176&lt;=0),"Prazo da ação inválido",""))</x:f>
      </x:c>
      <x:c r="AH176" s="167" t="n">
        <x:f>IF(AG176="",0,1)</x:f>
        <x:v>0</x:v>
      </x:c>
    </x:row>
    <x:row r="177" ht="32" customHeight="1">
      <x:c r="A177" s="27"/>
      <x:c r="B177" s="27"/>
      <x:c r="C177" s="40" t="str">
        <x:f>IF($B177="","",IFERROR(INDEX(Produtos!$B$5:$B$204,MATCH($B177,Produtos!$A$5:$A$204,0)),""))</x:f>
      </x:c>
      <x:c r="D177" s="170"/>
      <x:c r="E177" s="179"/>
      <x:c r="F177" s="179"/>
      <x:c r="G177" s="179"/>
      <x:c r="H177" s="40" t="str">
        <x:f>IF(A177="","",IF(OR(S177&lt;&gt;"",Listas!$B$13&lt;&gt;"OK"),"n.a.",G177-Listas!$B$6))</x:f>
      </x:c>
      <x:c r="I177" s="40"/>
      <x:c r="J177" s="40" t="str">
        <x:f>IF(A177="","",IF(OR(S177&lt;&gt;"",T177&gt;0,Listas!$B$13&lt;&gt;"OK"),"n.a.",SUMIFS(Movimentacoes!$H$5:$H$304,Movimentacoes!$D$5:$D$304,A177,Movimentacoes!$B$5:$B$304,"&lt;="&amp;Listas!$B$6)))</x:f>
      </x:c>
      <x:c r="K177" s="180"/>
      <x:c r="L177" s="181" t="str">
        <x:f>IF(A177="","",IF(OR(U177&gt;0,Listas!$B$13&lt;&gt;"OK"),"n.a.",J177*K177))</x:f>
      </x:c>
      <x:c r="M177" s="27"/>
      <x:c r="N177" s="40" t="str">
        <x:f>IF(A177="","",IF(OR(U177&gt;0,Listas!$B$13&lt;&gt;"OK"),"REVISAR DADOS",IF(J177=0,"SEM SALDO",IF(G177&lt;Listas!$B$6,"VENCIDO",IF(H177&lt;=Listas!$B$7,"CRÍTICO",IF(H177&lt;=Listas!$B$8,"VENCE NA JANELA","OK"))))))</x:f>
      </x:c>
      <x:c r="O177" s="41" t="str">
        <x:f>IF(A177="","",IF(AND(ISNUMBER(V177),V177&gt;0),G177,""))</x:f>
      </x:c>
      <x:c r="P177" s="40" t="str">
        <x:f>IF(A177="","",IF(OR(U177&gt;0,Listas!$B$13&lt;&gt;"OK"),"REVISAR DADOS",IF(J177=0,"ARQUIVAR LOTE",IF(M177="Quarentena","DECIDIR LIBERAÇÃO",IF(M177="Bloqueado","SEGREGAR E INVESTIGAR",IF(M177="Esgotado","REVISAR STATUS COM SALDO",IF(N177="VENCIDO","SEGREGAR E AVALIAR DESTINAÇÃO",IF(OR(N177="CRÍTICO",N177="VENCE NA JANELA"),"PRIORIZAR FEFO","MANTER ROTAÇÃO"))))))))</x:f>
      </x:c>
      <x:c r="Q177" s="27"/>
      <x:c r="R177" s="181" t="str">
        <x:f>IF(A177="","",IF(OR(U177&gt;0,Listas!$B$13&lt;&gt;"OK"),"n.a.",IF(OR(N177="VENCIDO",N177="CRÍTICO",N177="VENCE NA JANELA",M177="Quarentena",M177="Bloqueado"),L177,0)))</x:f>
      </x:c>
      <x:c r="S177" s="163" t="str">
        <x:f>IF(COUNTA(A177:B177,D177:G177,I177,K177,M177,Q177,AB177:AD177)=0,"",IF(OR(A177="",COUNTIFS($A$5:$A$204,A177)&lt;&gt;1),"Lote ausente ou duplicado",IF(OR(B177="",COUNTIFS(Produtos!$A$5:$A$204,B177)&lt;&gt;1),"SKU ausente ou desconhecido",IF(COUNTIFS(Produtos!$A$5:$A$204,B177,Produtos!$R$5:$R$204,1)&gt;0,"Revisar cadastro do produto",IF(OR(NOT(ISNUMBER(E177)),E177&lt;=0,NOT(ISNUMBER(G177)),G177&lt;=0,G177&lt;E177),"Recebimento ou validade inválida",IF(AND(F177&lt;&gt;"",OR(NOT(ISNUMBER(F177)),F177&lt;=0,F177&gt;E177)),"Fabricação inválida ou posterior ao recebimento",IF(OR(NOT(ISNUMBER(K177)),K177&lt;0,NOT(ISNUMBER(I177)),I177&lt;0),"Quantidade recebida ou custo inválido",IF(AND(M177&lt;&gt;"Liberado",M177&lt;&gt;"Quarentena",M177&lt;&gt;"Bloqueado",M177&lt;&gt;"Esgotado"),"Status de lote inválido",""))))))))</x:f>
      </x:c>
      <x:c r="T177" s="163" t="n">
        <x:f>IF(A177="",0,COUNTIFS(Movimentacoes!$D$5:$D$304,A177,Movimentacoes!$P$5:$P$304,1))</x:f>
        <x:v>0</x:v>
      </x:c>
      <x:c r="U177" s="163" t="n">
        <x:f>IF(COUNTA(A177:B177,D177:G177,I177,K177,M177,Q177,AB177:AD177)=0,0,IF(OR(S177&lt;&gt;"",T177&gt;0),1,IF(ISNUMBER(J177),IF(OR(J177&lt;0,AND(J177&gt;0,M177="Esgotado")),1,0),0)))</x:f>
        <x:v>0</x:v>
      </x:c>
      <x:c r="V177" s="163" t="str">
        <x:f>IF(A177="","",IF(OR(U177&gt;0,Listas!$B$13&lt;&gt;"OK"),"n.a.",IF(AND(J177&gt;0,M177="Liberado",G177&gt;=Listas!$B$6),J177,0)))</x:f>
      </x:c>
      <x:c r="W177" s="163" t="str">
        <x:f>IF(A177="","",IF(OR(U177&gt;0,Listas!$B$13&lt;&gt;"OK"),"n.a.",V177*K177))</x:f>
      </x:c>
      <x:c r="X177" s="167" t="n">
        <x:f>IF(COUNTA(A177:B177,D177:G177,I177,K177,M177,Q177,AB177:AD177)=0,0,IF(OR(Listas!$B$19="Todos",B177=Listas!$B$19,COUNTIFS(Produtos!$A$5:$A$204,B177)&lt;&gt;1),1,0))</x:f>
        <x:v>0</x:v>
      </x:c>
      <x:c r="Y177" s="167" t="str">
        <x:f>IF(X177=0,"",IF(Listas!$B$13&lt;&gt;"OK","Revisar parâmetros",IF(U177&gt;0,IF(S177&lt;&gt;"",S177,IF(T177&gt;0,"Revisar movimentos",IF(AND(ISNUMBER(J177),J177&lt;0),"Saldo negativo","Status esgotado com saldo"))),IF(AG177&lt;&gt;"",AG177&amp;". ","")&amp;IF(J177&lt;=0,"",IF(N177="VENCIDO","Validade vencida. ","")&amp;IF(M177="Quarentena","Em quarentena. ","")&amp;IF(M177="Bloqueado","Lote bloqueado. ","")&amp;IF(N177="CRÍTICO","Validade crítica. ","")&amp;IF(N177="VENCE NA JANELA","Vence na janela. ","")))))</x:f>
      </x:c>
      <x:c r="Z177" s="167" t="n">
        <x:f>IF(OR(X177=0,Y177=""),0,IF(OR(Listas!$B$13&lt;&gt;"OK",U177&gt;0,AH177&gt;0),1,IF(N177="VENCIDO",2,IF(OR(M177="Quarentena",M177="Bloqueado"),3,IF(N177="CRÍTICO",4,5)))))</x:f>
        <x:v>0</x:v>
      </x:c>
      <x:c r="AA177" s="167" t="n">
        <x:f>IF(Z177=0,0,COUNTIFS($Z$5:$Z$204,"&gt;0",$Z$5:$Z$204,"&lt;"&amp;Z177,$X$5:$X$204,1)+COUNTIFS($Z$5:Z177,Z177,$X$5:X177,1))</x:f>
        <x:v>0</x:v>
      </x:c>
      <x:c r="AB177" s="168"/>
      <x:c r="AC177" s="168"/>
      <x:c r="AD177" s="169"/>
      <x:c r="AE177" s="167" t="str">
        <x:f>IF(X177=0,"",IF(OR(U177&gt;0,Listas!$B$13&lt;&gt;"OK"),"Dados pendentes",IF(J177&lt;=0,"Sem saldo",IF(N177="VENCIDO","Vencidos",IF(OR(M177="Quarentena",M177="Bloqueado"),"Restritos vigentes",IF(OR(N177="CRÍTICO",N177="VENCE NA JANELA"),"Liberados na janela","Demais liberados"))))))</x:f>
      </x:c>
      <x:c r="AF177" s="167" t="str">
        <x:f>IF(A177&lt;&gt;"",A177,IF(U177&gt;0,"Sem ID (linha "&amp;ROW()&amp;")",""))</x:f>
      </x:c>
      <x:c r="AG177" s="167" t="str">
        <x:f>IF(AD177="","",IF(OR(NOT(ISNUMBER(AD177)),AD177&lt;=0),"Prazo da ação inválido",""))</x:f>
      </x:c>
      <x:c r="AH177" s="167" t="n">
        <x:f>IF(AG177="",0,1)</x:f>
        <x:v>0</x:v>
      </x:c>
    </x:row>
    <x:row r="178" ht="32" customHeight="1">
      <x:c r="A178" s="27"/>
      <x:c r="B178" s="27"/>
      <x:c r="C178" s="40" t="str">
        <x:f>IF($B178="","",IFERROR(INDEX(Produtos!$B$5:$B$204,MATCH($B178,Produtos!$A$5:$A$204,0)),""))</x:f>
      </x:c>
      <x:c r="D178" s="170"/>
      <x:c r="E178" s="179"/>
      <x:c r="F178" s="179"/>
      <x:c r="G178" s="179"/>
      <x:c r="H178" s="40" t="str">
        <x:f>IF(A178="","",IF(OR(S178&lt;&gt;"",Listas!$B$13&lt;&gt;"OK"),"n.a.",G178-Listas!$B$6))</x:f>
      </x:c>
      <x:c r="I178" s="40"/>
      <x:c r="J178" s="40" t="str">
        <x:f>IF(A178="","",IF(OR(S178&lt;&gt;"",T178&gt;0,Listas!$B$13&lt;&gt;"OK"),"n.a.",SUMIFS(Movimentacoes!$H$5:$H$304,Movimentacoes!$D$5:$D$304,A178,Movimentacoes!$B$5:$B$304,"&lt;="&amp;Listas!$B$6)))</x:f>
      </x:c>
      <x:c r="K178" s="180"/>
      <x:c r="L178" s="181" t="str">
        <x:f>IF(A178="","",IF(OR(U178&gt;0,Listas!$B$13&lt;&gt;"OK"),"n.a.",J178*K178))</x:f>
      </x:c>
      <x:c r="M178" s="27"/>
      <x:c r="N178" s="40" t="str">
        <x:f>IF(A178="","",IF(OR(U178&gt;0,Listas!$B$13&lt;&gt;"OK"),"REVISAR DADOS",IF(J178=0,"SEM SALDO",IF(G178&lt;Listas!$B$6,"VENCIDO",IF(H178&lt;=Listas!$B$7,"CRÍTICO",IF(H178&lt;=Listas!$B$8,"VENCE NA JANELA","OK"))))))</x:f>
      </x:c>
      <x:c r="O178" s="41" t="str">
        <x:f>IF(A178="","",IF(AND(ISNUMBER(V178),V178&gt;0),G178,""))</x:f>
      </x:c>
      <x:c r="P178" s="40" t="str">
        <x:f>IF(A178="","",IF(OR(U178&gt;0,Listas!$B$13&lt;&gt;"OK"),"REVISAR DADOS",IF(J178=0,"ARQUIVAR LOTE",IF(M178="Quarentena","DECIDIR LIBERAÇÃO",IF(M178="Bloqueado","SEGREGAR E INVESTIGAR",IF(M178="Esgotado","REVISAR STATUS COM SALDO",IF(N178="VENCIDO","SEGREGAR E AVALIAR DESTINAÇÃO",IF(OR(N178="CRÍTICO",N178="VENCE NA JANELA"),"PRIORIZAR FEFO","MANTER ROTAÇÃO"))))))))</x:f>
      </x:c>
      <x:c r="Q178" s="27"/>
      <x:c r="R178" s="181" t="str">
        <x:f>IF(A178="","",IF(OR(U178&gt;0,Listas!$B$13&lt;&gt;"OK"),"n.a.",IF(OR(N178="VENCIDO",N178="CRÍTICO",N178="VENCE NA JANELA",M178="Quarentena",M178="Bloqueado"),L178,0)))</x:f>
      </x:c>
      <x:c r="S178" s="163" t="str">
        <x:f>IF(COUNTA(A178:B178,D178:G178,I178,K178,M178,Q178,AB178:AD178)=0,"",IF(OR(A178="",COUNTIFS($A$5:$A$204,A178)&lt;&gt;1),"Lote ausente ou duplicado",IF(OR(B178="",COUNTIFS(Produtos!$A$5:$A$204,B178)&lt;&gt;1),"SKU ausente ou desconhecido",IF(COUNTIFS(Produtos!$A$5:$A$204,B178,Produtos!$R$5:$R$204,1)&gt;0,"Revisar cadastro do produto",IF(OR(NOT(ISNUMBER(E178)),E178&lt;=0,NOT(ISNUMBER(G178)),G178&lt;=0,G178&lt;E178),"Recebimento ou validade inválida",IF(AND(F178&lt;&gt;"",OR(NOT(ISNUMBER(F178)),F178&lt;=0,F178&gt;E178)),"Fabricação inválida ou posterior ao recebimento",IF(OR(NOT(ISNUMBER(K178)),K178&lt;0,NOT(ISNUMBER(I178)),I178&lt;0),"Quantidade recebida ou custo inválido",IF(AND(M178&lt;&gt;"Liberado",M178&lt;&gt;"Quarentena",M178&lt;&gt;"Bloqueado",M178&lt;&gt;"Esgotado"),"Status de lote inválido",""))))))))</x:f>
      </x:c>
      <x:c r="T178" s="163" t="n">
        <x:f>IF(A178="",0,COUNTIFS(Movimentacoes!$D$5:$D$304,A178,Movimentacoes!$P$5:$P$304,1))</x:f>
        <x:v>0</x:v>
      </x:c>
      <x:c r="U178" s="163" t="n">
        <x:f>IF(COUNTA(A178:B178,D178:G178,I178,K178,M178,Q178,AB178:AD178)=0,0,IF(OR(S178&lt;&gt;"",T178&gt;0),1,IF(ISNUMBER(J178),IF(OR(J178&lt;0,AND(J178&gt;0,M178="Esgotado")),1,0),0)))</x:f>
        <x:v>0</x:v>
      </x:c>
      <x:c r="V178" s="163" t="str">
        <x:f>IF(A178="","",IF(OR(U178&gt;0,Listas!$B$13&lt;&gt;"OK"),"n.a.",IF(AND(J178&gt;0,M178="Liberado",G178&gt;=Listas!$B$6),J178,0)))</x:f>
      </x:c>
      <x:c r="W178" s="163" t="str">
        <x:f>IF(A178="","",IF(OR(U178&gt;0,Listas!$B$13&lt;&gt;"OK"),"n.a.",V178*K178))</x:f>
      </x:c>
      <x:c r="X178" s="167" t="n">
        <x:f>IF(COUNTA(A178:B178,D178:G178,I178,K178,M178,Q178,AB178:AD178)=0,0,IF(OR(Listas!$B$19="Todos",B178=Listas!$B$19,COUNTIFS(Produtos!$A$5:$A$204,B178)&lt;&gt;1),1,0))</x:f>
        <x:v>0</x:v>
      </x:c>
      <x:c r="Y178" s="167" t="str">
        <x:f>IF(X178=0,"",IF(Listas!$B$13&lt;&gt;"OK","Revisar parâmetros",IF(U178&gt;0,IF(S178&lt;&gt;"",S178,IF(T178&gt;0,"Revisar movimentos",IF(AND(ISNUMBER(J178),J178&lt;0),"Saldo negativo","Status esgotado com saldo"))),IF(AG178&lt;&gt;"",AG178&amp;". ","")&amp;IF(J178&lt;=0,"",IF(N178="VENCIDO","Validade vencida. ","")&amp;IF(M178="Quarentena","Em quarentena. ","")&amp;IF(M178="Bloqueado","Lote bloqueado. ","")&amp;IF(N178="CRÍTICO","Validade crítica. ","")&amp;IF(N178="VENCE NA JANELA","Vence na janela. ","")))))</x:f>
      </x:c>
      <x:c r="Z178" s="167" t="n">
        <x:f>IF(OR(X178=0,Y178=""),0,IF(OR(Listas!$B$13&lt;&gt;"OK",U178&gt;0,AH178&gt;0),1,IF(N178="VENCIDO",2,IF(OR(M178="Quarentena",M178="Bloqueado"),3,IF(N178="CRÍTICO",4,5)))))</x:f>
        <x:v>0</x:v>
      </x:c>
      <x:c r="AA178" s="167" t="n">
        <x:f>IF(Z178=0,0,COUNTIFS($Z$5:$Z$204,"&gt;0",$Z$5:$Z$204,"&lt;"&amp;Z178,$X$5:$X$204,1)+COUNTIFS($Z$5:Z178,Z178,$X$5:X178,1))</x:f>
        <x:v>0</x:v>
      </x:c>
      <x:c r="AB178" s="168"/>
      <x:c r="AC178" s="168"/>
      <x:c r="AD178" s="169"/>
      <x:c r="AE178" s="167" t="str">
        <x:f>IF(X178=0,"",IF(OR(U178&gt;0,Listas!$B$13&lt;&gt;"OK"),"Dados pendentes",IF(J178&lt;=0,"Sem saldo",IF(N178="VENCIDO","Vencidos",IF(OR(M178="Quarentena",M178="Bloqueado"),"Restritos vigentes",IF(OR(N178="CRÍTICO",N178="VENCE NA JANELA"),"Liberados na janela","Demais liberados"))))))</x:f>
      </x:c>
      <x:c r="AF178" s="167" t="str">
        <x:f>IF(A178&lt;&gt;"",A178,IF(U178&gt;0,"Sem ID (linha "&amp;ROW()&amp;")",""))</x:f>
      </x:c>
      <x:c r="AG178" s="167" t="str">
        <x:f>IF(AD178="","",IF(OR(NOT(ISNUMBER(AD178)),AD178&lt;=0),"Prazo da ação inválido",""))</x:f>
      </x:c>
      <x:c r="AH178" s="167" t="n">
        <x:f>IF(AG178="",0,1)</x:f>
        <x:v>0</x:v>
      </x:c>
    </x:row>
    <x:row r="179" ht="32" customHeight="1">
      <x:c r="A179" s="27"/>
      <x:c r="B179" s="27"/>
      <x:c r="C179" s="40" t="str">
        <x:f>IF($B179="","",IFERROR(INDEX(Produtos!$B$5:$B$204,MATCH($B179,Produtos!$A$5:$A$204,0)),""))</x:f>
      </x:c>
      <x:c r="D179" s="170"/>
      <x:c r="E179" s="179"/>
      <x:c r="F179" s="179"/>
      <x:c r="G179" s="179"/>
      <x:c r="H179" s="40" t="str">
        <x:f>IF(A179="","",IF(OR(S179&lt;&gt;"",Listas!$B$13&lt;&gt;"OK"),"n.a.",G179-Listas!$B$6))</x:f>
      </x:c>
      <x:c r="I179" s="40"/>
      <x:c r="J179" s="40" t="str">
        <x:f>IF(A179="","",IF(OR(S179&lt;&gt;"",T179&gt;0,Listas!$B$13&lt;&gt;"OK"),"n.a.",SUMIFS(Movimentacoes!$H$5:$H$304,Movimentacoes!$D$5:$D$304,A179,Movimentacoes!$B$5:$B$304,"&lt;="&amp;Listas!$B$6)))</x:f>
      </x:c>
      <x:c r="K179" s="180"/>
      <x:c r="L179" s="181" t="str">
        <x:f>IF(A179="","",IF(OR(U179&gt;0,Listas!$B$13&lt;&gt;"OK"),"n.a.",J179*K179))</x:f>
      </x:c>
      <x:c r="M179" s="27"/>
      <x:c r="N179" s="40" t="str">
        <x:f>IF(A179="","",IF(OR(U179&gt;0,Listas!$B$13&lt;&gt;"OK"),"REVISAR DADOS",IF(J179=0,"SEM SALDO",IF(G179&lt;Listas!$B$6,"VENCIDO",IF(H179&lt;=Listas!$B$7,"CRÍTICO",IF(H179&lt;=Listas!$B$8,"VENCE NA JANELA","OK"))))))</x:f>
      </x:c>
      <x:c r="O179" s="41" t="str">
        <x:f>IF(A179="","",IF(AND(ISNUMBER(V179),V179&gt;0),G179,""))</x:f>
      </x:c>
      <x:c r="P179" s="40" t="str">
        <x:f>IF(A179="","",IF(OR(U179&gt;0,Listas!$B$13&lt;&gt;"OK"),"REVISAR DADOS",IF(J179=0,"ARQUIVAR LOTE",IF(M179="Quarentena","DECIDIR LIBERAÇÃO",IF(M179="Bloqueado","SEGREGAR E INVESTIGAR",IF(M179="Esgotado","REVISAR STATUS COM SALDO",IF(N179="VENCIDO","SEGREGAR E AVALIAR DESTINAÇÃO",IF(OR(N179="CRÍTICO",N179="VENCE NA JANELA"),"PRIORIZAR FEFO","MANTER ROTAÇÃO"))))))))</x:f>
      </x:c>
      <x:c r="Q179" s="27"/>
      <x:c r="R179" s="181" t="str">
        <x:f>IF(A179="","",IF(OR(U179&gt;0,Listas!$B$13&lt;&gt;"OK"),"n.a.",IF(OR(N179="VENCIDO",N179="CRÍTICO",N179="VENCE NA JANELA",M179="Quarentena",M179="Bloqueado"),L179,0)))</x:f>
      </x:c>
      <x:c r="S179" s="163" t="str">
        <x:f>IF(COUNTA(A179:B179,D179:G179,I179,K179,M179,Q179,AB179:AD179)=0,"",IF(OR(A179="",COUNTIFS($A$5:$A$204,A179)&lt;&gt;1),"Lote ausente ou duplicado",IF(OR(B179="",COUNTIFS(Produtos!$A$5:$A$204,B179)&lt;&gt;1),"SKU ausente ou desconhecido",IF(COUNTIFS(Produtos!$A$5:$A$204,B179,Produtos!$R$5:$R$204,1)&gt;0,"Revisar cadastro do produto",IF(OR(NOT(ISNUMBER(E179)),E179&lt;=0,NOT(ISNUMBER(G179)),G179&lt;=0,G179&lt;E179),"Recebimento ou validade inválida",IF(AND(F179&lt;&gt;"",OR(NOT(ISNUMBER(F179)),F179&lt;=0,F179&gt;E179)),"Fabricação inválida ou posterior ao recebimento",IF(OR(NOT(ISNUMBER(K179)),K179&lt;0,NOT(ISNUMBER(I179)),I179&lt;0),"Quantidade recebida ou custo inválido",IF(AND(M179&lt;&gt;"Liberado",M179&lt;&gt;"Quarentena",M179&lt;&gt;"Bloqueado",M179&lt;&gt;"Esgotado"),"Status de lote inválido",""))))))))</x:f>
      </x:c>
      <x:c r="T179" s="163" t="n">
        <x:f>IF(A179="",0,COUNTIFS(Movimentacoes!$D$5:$D$304,A179,Movimentacoes!$P$5:$P$304,1))</x:f>
        <x:v>0</x:v>
      </x:c>
      <x:c r="U179" s="163" t="n">
        <x:f>IF(COUNTA(A179:B179,D179:G179,I179,K179,M179,Q179,AB179:AD179)=0,0,IF(OR(S179&lt;&gt;"",T179&gt;0),1,IF(ISNUMBER(J179),IF(OR(J179&lt;0,AND(J179&gt;0,M179="Esgotado")),1,0),0)))</x:f>
        <x:v>0</x:v>
      </x:c>
      <x:c r="V179" s="163" t="str">
        <x:f>IF(A179="","",IF(OR(U179&gt;0,Listas!$B$13&lt;&gt;"OK"),"n.a.",IF(AND(J179&gt;0,M179="Liberado",G179&gt;=Listas!$B$6),J179,0)))</x:f>
      </x:c>
      <x:c r="W179" s="163" t="str">
        <x:f>IF(A179="","",IF(OR(U179&gt;0,Listas!$B$13&lt;&gt;"OK"),"n.a.",V179*K179))</x:f>
      </x:c>
      <x:c r="X179" s="167" t="n">
        <x:f>IF(COUNTA(A179:B179,D179:G179,I179,K179,M179,Q179,AB179:AD179)=0,0,IF(OR(Listas!$B$19="Todos",B179=Listas!$B$19,COUNTIFS(Produtos!$A$5:$A$204,B179)&lt;&gt;1),1,0))</x:f>
        <x:v>0</x:v>
      </x:c>
      <x:c r="Y179" s="167" t="str">
        <x:f>IF(X179=0,"",IF(Listas!$B$13&lt;&gt;"OK","Revisar parâmetros",IF(U179&gt;0,IF(S179&lt;&gt;"",S179,IF(T179&gt;0,"Revisar movimentos",IF(AND(ISNUMBER(J179),J179&lt;0),"Saldo negativo","Status esgotado com saldo"))),IF(AG179&lt;&gt;"",AG179&amp;". ","")&amp;IF(J179&lt;=0,"",IF(N179="VENCIDO","Validade vencida. ","")&amp;IF(M179="Quarentena","Em quarentena. ","")&amp;IF(M179="Bloqueado","Lote bloqueado. ","")&amp;IF(N179="CRÍTICO","Validade crítica. ","")&amp;IF(N179="VENCE NA JANELA","Vence na janela. ","")))))</x:f>
      </x:c>
      <x:c r="Z179" s="167" t="n">
        <x:f>IF(OR(X179=0,Y179=""),0,IF(OR(Listas!$B$13&lt;&gt;"OK",U179&gt;0,AH179&gt;0),1,IF(N179="VENCIDO",2,IF(OR(M179="Quarentena",M179="Bloqueado"),3,IF(N179="CRÍTICO",4,5)))))</x:f>
        <x:v>0</x:v>
      </x:c>
      <x:c r="AA179" s="167" t="n">
        <x:f>IF(Z179=0,0,COUNTIFS($Z$5:$Z$204,"&gt;0",$Z$5:$Z$204,"&lt;"&amp;Z179,$X$5:$X$204,1)+COUNTIFS($Z$5:Z179,Z179,$X$5:X179,1))</x:f>
        <x:v>0</x:v>
      </x:c>
      <x:c r="AB179" s="168"/>
      <x:c r="AC179" s="168"/>
      <x:c r="AD179" s="169"/>
      <x:c r="AE179" s="167" t="str">
        <x:f>IF(X179=0,"",IF(OR(U179&gt;0,Listas!$B$13&lt;&gt;"OK"),"Dados pendentes",IF(J179&lt;=0,"Sem saldo",IF(N179="VENCIDO","Vencidos",IF(OR(M179="Quarentena",M179="Bloqueado"),"Restritos vigentes",IF(OR(N179="CRÍTICO",N179="VENCE NA JANELA"),"Liberados na janela","Demais liberados"))))))</x:f>
      </x:c>
      <x:c r="AF179" s="167" t="str">
        <x:f>IF(A179&lt;&gt;"",A179,IF(U179&gt;0,"Sem ID (linha "&amp;ROW()&amp;")",""))</x:f>
      </x:c>
      <x:c r="AG179" s="167" t="str">
        <x:f>IF(AD179="","",IF(OR(NOT(ISNUMBER(AD179)),AD179&lt;=0),"Prazo da ação inválido",""))</x:f>
      </x:c>
      <x:c r="AH179" s="167" t="n">
        <x:f>IF(AG179="",0,1)</x:f>
        <x:v>0</x:v>
      </x:c>
    </x:row>
    <x:row r="180" ht="32" customHeight="1">
      <x:c r="A180" s="27"/>
      <x:c r="B180" s="27"/>
      <x:c r="C180" s="40" t="str">
        <x:f>IF($B180="","",IFERROR(INDEX(Produtos!$B$5:$B$204,MATCH($B180,Produtos!$A$5:$A$204,0)),""))</x:f>
      </x:c>
      <x:c r="D180" s="170"/>
      <x:c r="E180" s="179"/>
      <x:c r="F180" s="179"/>
      <x:c r="G180" s="179"/>
      <x:c r="H180" s="40" t="str">
        <x:f>IF(A180="","",IF(OR(S180&lt;&gt;"",Listas!$B$13&lt;&gt;"OK"),"n.a.",G180-Listas!$B$6))</x:f>
      </x:c>
      <x:c r="I180" s="40"/>
      <x:c r="J180" s="40" t="str">
        <x:f>IF(A180="","",IF(OR(S180&lt;&gt;"",T180&gt;0,Listas!$B$13&lt;&gt;"OK"),"n.a.",SUMIFS(Movimentacoes!$H$5:$H$304,Movimentacoes!$D$5:$D$304,A180,Movimentacoes!$B$5:$B$304,"&lt;="&amp;Listas!$B$6)))</x:f>
      </x:c>
      <x:c r="K180" s="180"/>
      <x:c r="L180" s="181" t="str">
        <x:f>IF(A180="","",IF(OR(U180&gt;0,Listas!$B$13&lt;&gt;"OK"),"n.a.",J180*K180))</x:f>
      </x:c>
      <x:c r="M180" s="27"/>
      <x:c r="N180" s="40" t="str">
        <x:f>IF(A180="","",IF(OR(U180&gt;0,Listas!$B$13&lt;&gt;"OK"),"REVISAR DADOS",IF(J180=0,"SEM SALDO",IF(G180&lt;Listas!$B$6,"VENCIDO",IF(H180&lt;=Listas!$B$7,"CRÍTICO",IF(H180&lt;=Listas!$B$8,"VENCE NA JANELA","OK"))))))</x:f>
      </x:c>
      <x:c r="O180" s="41" t="str">
        <x:f>IF(A180="","",IF(AND(ISNUMBER(V180),V180&gt;0),G180,""))</x:f>
      </x:c>
      <x:c r="P180" s="40" t="str">
        <x:f>IF(A180="","",IF(OR(U180&gt;0,Listas!$B$13&lt;&gt;"OK"),"REVISAR DADOS",IF(J180=0,"ARQUIVAR LOTE",IF(M180="Quarentena","DECIDIR LIBERAÇÃO",IF(M180="Bloqueado","SEGREGAR E INVESTIGAR",IF(M180="Esgotado","REVISAR STATUS COM SALDO",IF(N180="VENCIDO","SEGREGAR E AVALIAR DESTINAÇÃO",IF(OR(N180="CRÍTICO",N180="VENCE NA JANELA"),"PRIORIZAR FEFO","MANTER ROTAÇÃO"))))))))</x:f>
      </x:c>
      <x:c r="Q180" s="27"/>
      <x:c r="R180" s="181" t="str">
        <x:f>IF(A180="","",IF(OR(U180&gt;0,Listas!$B$13&lt;&gt;"OK"),"n.a.",IF(OR(N180="VENCIDO",N180="CRÍTICO",N180="VENCE NA JANELA",M180="Quarentena",M180="Bloqueado"),L180,0)))</x:f>
      </x:c>
      <x:c r="S180" s="163" t="str">
        <x:f>IF(COUNTA(A180:B180,D180:G180,I180,K180,M180,Q180,AB180:AD180)=0,"",IF(OR(A180="",COUNTIFS($A$5:$A$204,A180)&lt;&gt;1),"Lote ausente ou duplicado",IF(OR(B180="",COUNTIFS(Produtos!$A$5:$A$204,B180)&lt;&gt;1),"SKU ausente ou desconhecido",IF(COUNTIFS(Produtos!$A$5:$A$204,B180,Produtos!$R$5:$R$204,1)&gt;0,"Revisar cadastro do produto",IF(OR(NOT(ISNUMBER(E180)),E180&lt;=0,NOT(ISNUMBER(G180)),G180&lt;=0,G180&lt;E180),"Recebimento ou validade inválida",IF(AND(F180&lt;&gt;"",OR(NOT(ISNUMBER(F180)),F180&lt;=0,F180&gt;E180)),"Fabricação inválida ou posterior ao recebimento",IF(OR(NOT(ISNUMBER(K180)),K180&lt;0,NOT(ISNUMBER(I180)),I180&lt;0),"Quantidade recebida ou custo inválido",IF(AND(M180&lt;&gt;"Liberado",M180&lt;&gt;"Quarentena",M180&lt;&gt;"Bloqueado",M180&lt;&gt;"Esgotado"),"Status de lote inválido",""))))))))</x:f>
      </x:c>
      <x:c r="T180" s="163" t="n">
        <x:f>IF(A180="",0,COUNTIFS(Movimentacoes!$D$5:$D$304,A180,Movimentacoes!$P$5:$P$304,1))</x:f>
        <x:v>0</x:v>
      </x:c>
      <x:c r="U180" s="163" t="n">
        <x:f>IF(COUNTA(A180:B180,D180:G180,I180,K180,M180,Q180,AB180:AD180)=0,0,IF(OR(S180&lt;&gt;"",T180&gt;0),1,IF(ISNUMBER(J180),IF(OR(J180&lt;0,AND(J180&gt;0,M180="Esgotado")),1,0),0)))</x:f>
        <x:v>0</x:v>
      </x:c>
      <x:c r="V180" s="163" t="str">
        <x:f>IF(A180="","",IF(OR(U180&gt;0,Listas!$B$13&lt;&gt;"OK"),"n.a.",IF(AND(J180&gt;0,M180="Liberado",G180&gt;=Listas!$B$6),J180,0)))</x:f>
      </x:c>
      <x:c r="W180" s="163" t="str">
        <x:f>IF(A180="","",IF(OR(U180&gt;0,Listas!$B$13&lt;&gt;"OK"),"n.a.",V180*K180))</x:f>
      </x:c>
      <x:c r="X180" s="167" t="n">
        <x:f>IF(COUNTA(A180:B180,D180:G180,I180,K180,M180,Q180,AB180:AD180)=0,0,IF(OR(Listas!$B$19="Todos",B180=Listas!$B$19,COUNTIFS(Produtos!$A$5:$A$204,B180)&lt;&gt;1),1,0))</x:f>
        <x:v>0</x:v>
      </x:c>
      <x:c r="Y180" s="167" t="str">
        <x:f>IF(X180=0,"",IF(Listas!$B$13&lt;&gt;"OK","Revisar parâmetros",IF(U180&gt;0,IF(S180&lt;&gt;"",S180,IF(T180&gt;0,"Revisar movimentos",IF(AND(ISNUMBER(J180),J180&lt;0),"Saldo negativo","Status esgotado com saldo"))),IF(AG180&lt;&gt;"",AG180&amp;". ","")&amp;IF(J180&lt;=0,"",IF(N180="VENCIDO","Validade vencida. ","")&amp;IF(M180="Quarentena","Em quarentena. ","")&amp;IF(M180="Bloqueado","Lote bloqueado. ","")&amp;IF(N180="CRÍTICO","Validade crítica. ","")&amp;IF(N180="VENCE NA JANELA","Vence na janela. ","")))))</x:f>
      </x:c>
      <x:c r="Z180" s="167" t="n">
        <x:f>IF(OR(X180=0,Y180=""),0,IF(OR(Listas!$B$13&lt;&gt;"OK",U180&gt;0,AH180&gt;0),1,IF(N180="VENCIDO",2,IF(OR(M180="Quarentena",M180="Bloqueado"),3,IF(N180="CRÍTICO",4,5)))))</x:f>
        <x:v>0</x:v>
      </x:c>
      <x:c r="AA180" s="167" t="n">
        <x:f>IF(Z180=0,0,COUNTIFS($Z$5:$Z$204,"&gt;0",$Z$5:$Z$204,"&lt;"&amp;Z180,$X$5:$X$204,1)+COUNTIFS($Z$5:Z180,Z180,$X$5:X180,1))</x:f>
        <x:v>0</x:v>
      </x:c>
      <x:c r="AB180" s="168"/>
      <x:c r="AC180" s="168"/>
      <x:c r="AD180" s="169"/>
      <x:c r="AE180" s="167" t="str">
        <x:f>IF(X180=0,"",IF(OR(U180&gt;0,Listas!$B$13&lt;&gt;"OK"),"Dados pendentes",IF(J180&lt;=0,"Sem saldo",IF(N180="VENCIDO","Vencidos",IF(OR(M180="Quarentena",M180="Bloqueado"),"Restritos vigentes",IF(OR(N180="CRÍTICO",N180="VENCE NA JANELA"),"Liberados na janela","Demais liberados"))))))</x:f>
      </x:c>
      <x:c r="AF180" s="167" t="str">
        <x:f>IF(A180&lt;&gt;"",A180,IF(U180&gt;0,"Sem ID (linha "&amp;ROW()&amp;")",""))</x:f>
      </x:c>
      <x:c r="AG180" s="167" t="str">
        <x:f>IF(AD180="","",IF(OR(NOT(ISNUMBER(AD180)),AD180&lt;=0),"Prazo da ação inválido",""))</x:f>
      </x:c>
      <x:c r="AH180" s="167" t="n">
        <x:f>IF(AG180="",0,1)</x:f>
        <x:v>0</x:v>
      </x:c>
    </x:row>
    <x:row r="181" ht="32" customHeight="1">
      <x:c r="A181" s="27"/>
      <x:c r="B181" s="27"/>
      <x:c r="C181" s="40" t="str">
        <x:f>IF($B181="","",IFERROR(INDEX(Produtos!$B$5:$B$204,MATCH($B181,Produtos!$A$5:$A$204,0)),""))</x:f>
      </x:c>
      <x:c r="D181" s="170"/>
      <x:c r="E181" s="179"/>
      <x:c r="F181" s="179"/>
      <x:c r="G181" s="179"/>
      <x:c r="H181" s="40" t="str">
        <x:f>IF(A181="","",IF(OR(S181&lt;&gt;"",Listas!$B$13&lt;&gt;"OK"),"n.a.",G181-Listas!$B$6))</x:f>
      </x:c>
      <x:c r="I181" s="40"/>
      <x:c r="J181" s="40" t="str">
        <x:f>IF(A181="","",IF(OR(S181&lt;&gt;"",T181&gt;0,Listas!$B$13&lt;&gt;"OK"),"n.a.",SUMIFS(Movimentacoes!$H$5:$H$304,Movimentacoes!$D$5:$D$304,A181,Movimentacoes!$B$5:$B$304,"&lt;="&amp;Listas!$B$6)))</x:f>
      </x:c>
      <x:c r="K181" s="180"/>
      <x:c r="L181" s="181" t="str">
        <x:f>IF(A181="","",IF(OR(U181&gt;0,Listas!$B$13&lt;&gt;"OK"),"n.a.",J181*K181))</x:f>
      </x:c>
      <x:c r="M181" s="27"/>
      <x:c r="N181" s="40" t="str">
        <x:f>IF(A181="","",IF(OR(U181&gt;0,Listas!$B$13&lt;&gt;"OK"),"REVISAR DADOS",IF(J181=0,"SEM SALDO",IF(G181&lt;Listas!$B$6,"VENCIDO",IF(H181&lt;=Listas!$B$7,"CRÍTICO",IF(H181&lt;=Listas!$B$8,"VENCE NA JANELA","OK"))))))</x:f>
      </x:c>
      <x:c r="O181" s="41" t="str">
        <x:f>IF(A181="","",IF(AND(ISNUMBER(V181),V181&gt;0),G181,""))</x:f>
      </x:c>
      <x:c r="P181" s="40" t="str">
        <x:f>IF(A181="","",IF(OR(U181&gt;0,Listas!$B$13&lt;&gt;"OK"),"REVISAR DADOS",IF(J181=0,"ARQUIVAR LOTE",IF(M181="Quarentena","DECIDIR LIBERAÇÃO",IF(M181="Bloqueado","SEGREGAR E INVESTIGAR",IF(M181="Esgotado","REVISAR STATUS COM SALDO",IF(N181="VENCIDO","SEGREGAR E AVALIAR DESTINAÇÃO",IF(OR(N181="CRÍTICO",N181="VENCE NA JANELA"),"PRIORIZAR FEFO","MANTER ROTAÇÃO"))))))))</x:f>
      </x:c>
      <x:c r="Q181" s="27"/>
      <x:c r="R181" s="181" t="str">
        <x:f>IF(A181="","",IF(OR(U181&gt;0,Listas!$B$13&lt;&gt;"OK"),"n.a.",IF(OR(N181="VENCIDO",N181="CRÍTICO",N181="VENCE NA JANELA",M181="Quarentena",M181="Bloqueado"),L181,0)))</x:f>
      </x:c>
      <x:c r="S181" s="163" t="str">
        <x:f>IF(COUNTA(A181:B181,D181:G181,I181,K181,M181,Q181,AB181:AD181)=0,"",IF(OR(A181="",COUNTIFS($A$5:$A$204,A181)&lt;&gt;1),"Lote ausente ou duplicado",IF(OR(B181="",COUNTIFS(Produtos!$A$5:$A$204,B181)&lt;&gt;1),"SKU ausente ou desconhecido",IF(COUNTIFS(Produtos!$A$5:$A$204,B181,Produtos!$R$5:$R$204,1)&gt;0,"Revisar cadastro do produto",IF(OR(NOT(ISNUMBER(E181)),E181&lt;=0,NOT(ISNUMBER(G181)),G181&lt;=0,G181&lt;E181),"Recebimento ou validade inválida",IF(AND(F181&lt;&gt;"",OR(NOT(ISNUMBER(F181)),F181&lt;=0,F181&gt;E181)),"Fabricação inválida ou posterior ao recebimento",IF(OR(NOT(ISNUMBER(K181)),K181&lt;0,NOT(ISNUMBER(I181)),I181&lt;0),"Quantidade recebida ou custo inválido",IF(AND(M181&lt;&gt;"Liberado",M181&lt;&gt;"Quarentena",M181&lt;&gt;"Bloqueado",M181&lt;&gt;"Esgotado"),"Status de lote inválido",""))))))))</x:f>
      </x:c>
      <x:c r="T181" s="163" t="n">
        <x:f>IF(A181="",0,COUNTIFS(Movimentacoes!$D$5:$D$304,A181,Movimentacoes!$P$5:$P$304,1))</x:f>
        <x:v>0</x:v>
      </x:c>
      <x:c r="U181" s="163" t="n">
        <x:f>IF(COUNTA(A181:B181,D181:G181,I181,K181,M181,Q181,AB181:AD181)=0,0,IF(OR(S181&lt;&gt;"",T181&gt;0),1,IF(ISNUMBER(J181),IF(OR(J181&lt;0,AND(J181&gt;0,M181="Esgotado")),1,0),0)))</x:f>
        <x:v>0</x:v>
      </x:c>
      <x:c r="V181" s="163" t="str">
        <x:f>IF(A181="","",IF(OR(U181&gt;0,Listas!$B$13&lt;&gt;"OK"),"n.a.",IF(AND(J181&gt;0,M181="Liberado",G181&gt;=Listas!$B$6),J181,0)))</x:f>
      </x:c>
      <x:c r="W181" s="163" t="str">
        <x:f>IF(A181="","",IF(OR(U181&gt;0,Listas!$B$13&lt;&gt;"OK"),"n.a.",V181*K181))</x:f>
      </x:c>
      <x:c r="X181" s="167" t="n">
        <x:f>IF(COUNTA(A181:B181,D181:G181,I181,K181,M181,Q181,AB181:AD181)=0,0,IF(OR(Listas!$B$19="Todos",B181=Listas!$B$19,COUNTIFS(Produtos!$A$5:$A$204,B181)&lt;&gt;1),1,0))</x:f>
        <x:v>0</x:v>
      </x:c>
      <x:c r="Y181" s="167" t="str">
        <x:f>IF(X181=0,"",IF(Listas!$B$13&lt;&gt;"OK","Revisar parâmetros",IF(U181&gt;0,IF(S181&lt;&gt;"",S181,IF(T181&gt;0,"Revisar movimentos",IF(AND(ISNUMBER(J181),J181&lt;0),"Saldo negativo","Status esgotado com saldo"))),IF(AG181&lt;&gt;"",AG181&amp;". ","")&amp;IF(J181&lt;=0,"",IF(N181="VENCIDO","Validade vencida. ","")&amp;IF(M181="Quarentena","Em quarentena. ","")&amp;IF(M181="Bloqueado","Lote bloqueado. ","")&amp;IF(N181="CRÍTICO","Validade crítica. ","")&amp;IF(N181="VENCE NA JANELA","Vence na janela. ","")))))</x:f>
      </x:c>
      <x:c r="Z181" s="167" t="n">
        <x:f>IF(OR(X181=0,Y181=""),0,IF(OR(Listas!$B$13&lt;&gt;"OK",U181&gt;0,AH181&gt;0),1,IF(N181="VENCIDO",2,IF(OR(M181="Quarentena",M181="Bloqueado"),3,IF(N181="CRÍTICO",4,5)))))</x:f>
        <x:v>0</x:v>
      </x:c>
      <x:c r="AA181" s="167" t="n">
        <x:f>IF(Z181=0,0,COUNTIFS($Z$5:$Z$204,"&gt;0",$Z$5:$Z$204,"&lt;"&amp;Z181,$X$5:$X$204,1)+COUNTIFS($Z$5:Z181,Z181,$X$5:X181,1))</x:f>
        <x:v>0</x:v>
      </x:c>
      <x:c r="AB181" s="168"/>
      <x:c r="AC181" s="168"/>
      <x:c r="AD181" s="169"/>
      <x:c r="AE181" s="167" t="str">
        <x:f>IF(X181=0,"",IF(OR(U181&gt;0,Listas!$B$13&lt;&gt;"OK"),"Dados pendentes",IF(J181&lt;=0,"Sem saldo",IF(N181="VENCIDO","Vencidos",IF(OR(M181="Quarentena",M181="Bloqueado"),"Restritos vigentes",IF(OR(N181="CRÍTICO",N181="VENCE NA JANELA"),"Liberados na janela","Demais liberados"))))))</x:f>
      </x:c>
      <x:c r="AF181" s="167" t="str">
        <x:f>IF(A181&lt;&gt;"",A181,IF(U181&gt;0,"Sem ID (linha "&amp;ROW()&amp;")",""))</x:f>
      </x:c>
      <x:c r="AG181" s="167" t="str">
        <x:f>IF(AD181="","",IF(OR(NOT(ISNUMBER(AD181)),AD181&lt;=0),"Prazo da ação inválido",""))</x:f>
      </x:c>
      <x:c r="AH181" s="167" t="n">
        <x:f>IF(AG181="",0,1)</x:f>
        <x:v>0</x:v>
      </x:c>
    </x:row>
    <x:row r="182" ht="32" customHeight="1">
      <x:c r="A182" s="27"/>
      <x:c r="B182" s="27"/>
      <x:c r="C182" s="40" t="str">
        <x:f>IF($B182="","",IFERROR(INDEX(Produtos!$B$5:$B$204,MATCH($B182,Produtos!$A$5:$A$204,0)),""))</x:f>
      </x:c>
      <x:c r="D182" s="170"/>
      <x:c r="E182" s="179"/>
      <x:c r="F182" s="179"/>
      <x:c r="G182" s="179"/>
      <x:c r="H182" s="40" t="str">
        <x:f>IF(A182="","",IF(OR(S182&lt;&gt;"",Listas!$B$13&lt;&gt;"OK"),"n.a.",G182-Listas!$B$6))</x:f>
      </x:c>
      <x:c r="I182" s="40"/>
      <x:c r="J182" s="40" t="str">
        <x:f>IF(A182="","",IF(OR(S182&lt;&gt;"",T182&gt;0,Listas!$B$13&lt;&gt;"OK"),"n.a.",SUMIFS(Movimentacoes!$H$5:$H$304,Movimentacoes!$D$5:$D$304,A182,Movimentacoes!$B$5:$B$304,"&lt;="&amp;Listas!$B$6)))</x:f>
      </x:c>
      <x:c r="K182" s="180"/>
      <x:c r="L182" s="181" t="str">
        <x:f>IF(A182="","",IF(OR(U182&gt;0,Listas!$B$13&lt;&gt;"OK"),"n.a.",J182*K182))</x:f>
      </x:c>
      <x:c r="M182" s="27"/>
      <x:c r="N182" s="40" t="str">
        <x:f>IF(A182="","",IF(OR(U182&gt;0,Listas!$B$13&lt;&gt;"OK"),"REVISAR DADOS",IF(J182=0,"SEM SALDO",IF(G182&lt;Listas!$B$6,"VENCIDO",IF(H182&lt;=Listas!$B$7,"CRÍTICO",IF(H182&lt;=Listas!$B$8,"VENCE NA JANELA","OK"))))))</x:f>
      </x:c>
      <x:c r="O182" s="41" t="str">
        <x:f>IF(A182="","",IF(AND(ISNUMBER(V182),V182&gt;0),G182,""))</x:f>
      </x:c>
      <x:c r="P182" s="40" t="str">
        <x:f>IF(A182="","",IF(OR(U182&gt;0,Listas!$B$13&lt;&gt;"OK"),"REVISAR DADOS",IF(J182=0,"ARQUIVAR LOTE",IF(M182="Quarentena","DECIDIR LIBERAÇÃO",IF(M182="Bloqueado","SEGREGAR E INVESTIGAR",IF(M182="Esgotado","REVISAR STATUS COM SALDO",IF(N182="VENCIDO","SEGREGAR E AVALIAR DESTINAÇÃO",IF(OR(N182="CRÍTICO",N182="VENCE NA JANELA"),"PRIORIZAR FEFO","MANTER ROTAÇÃO"))))))))</x:f>
      </x:c>
      <x:c r="Q182" s="27"/>
      <x:c r="R182" s="181" t="str">
        <x:f>IF(A182="","",IF(OR(U182&gt;0,Listas!$B$13&lt;&gt;"OK"),"n.a.",IF(OR(N182="VENCIDO",N182="CRÍTICO",N182="VENCE NA JANELA",M182="Quarentena",M182="Bloqueado"),L182,0)))</x:f>
      </x:c>
      <x:c r="S182" s="163" t="str">
        <x:f>IF(COUNTA(A182:B182,D182:G182,I182,K182,M182,Q182,AB182:AD182)=0,"",IF(OR(A182="",COUNTIFS($A$5:$A$204,A182)&lt;&gt;1),"Lote ausente ou duplicado",IF(OR(B182="",COUNTIFS(Produtos!$A$5:$A$204,B182)&lt;&gt;1),"SKU ausente ou desconhecido",IF(COUNTIFS(Produtos!$A$5:$A$204,B182,Produtos!$R$5:$R$204,1)&gt;0,"Revisar cadastro do produto",IF(OR(NOT(ISNUMBER(E182)),E182&lt;=0,NOT(ISNUMBER(G182)),G182&lt;=0,G182&lt;E182),"Recebimento ou validade inválida",IF(AND(F182&lt;&gt;"",OR(NOT(ISNUMBER(F182)),F182&lt;=0,F182&gt;E182)),"Fabricação inválida ou posterior ao recebimento",IF(OR(NOT(ISNUMBER(K182)),K182&lt;0,NOT(ISNUMBER(I182)),I182&lt;0),"Quantidade recebida ou custo inválido",IF(AND(M182&lt;&gt;"Liberado",M182&lt;&gt;"Quarentena",M182&lt;&gt;"Bloqueado",M182&lt;&gt;"Esgotado"),"Status de lote inválido",""))))))))</x:f>
      </x:c>
      <x:c r="T182" s="163" t="n">
        <x:f>IF(A182="",0,COUNTIFS(Movimentacoes!$D$5:$D$304,A182,Movimentacoes!$P$5:$P$304,1))</x:f>
        <x:v>0</x:v>
      </x:c>
      <x:c r="U182" s="163" t="n">
        <x:f>IF(COUNTA(A182:B182,D182:G182,I182,K182,M182,Q182,AB182:AD182)=0,0,IF(OR(S182&lt;&gt;"",T182&gt;0),1,IF(ISNUMBER(J182),IF(OR(J182&lt;0,AND(J182&gt;0,M182="Esgotado")),1,0),0)))</x:f>
        <x:v>0</x:v>
      </x:c>
      <x:c r="V182" s="163" t="str">
        <x:f>IF(A182="","",IF(OR(U182&gt;0,Listas!$B$13&lt;&gt;"OK"),"n.a.",IF(AND(J182&gt;0,M182="Liberado",G182&gt;=Listas!$B$6),J182,0)))</x:f>
      </x:c>
      <x:c r="W182" s="163" t="str">
        <x:f>IF(A182="","",IF(OR(U182&gt;0,Listas!$B$13&lt;&gt;"OK"),"n.a.",V182*K182))</x:f>
      </x:c>
      <x:c r="X182" s="167" t="n">
        <x:f>IF(COUNTA(A182:B182,D182:G182,I182,K182,M182,Q182,AB182:AD182)=0,0,IF(OR(Listas!$B$19="Todos",B182=Listas!$B$19,COUNTIFS(Produtos!$A$5:$A$204,B182)&lt;&gt;1),1,0))</x:f>
        <x:v>0</x:v>
      </x:c>
      <x:c r="Y182" s="167" t="str">
        <x:f>IF(X182=0,"",IF(Listas!$B$13&lt;&gt;"OK","Revisar parâmetros",IF(U182&gt;0,IF(S182&lt;&gt;"",S182,IF(T182&gt;0,"Revisar movimentos",IF(AND(ISNUMBER(J182),J182&lt;0),"Saldo negativo","Status esgotado com saldo"))),IF(AG182&lt;&gt;"",AG182&amp;". ","")&amp;IF(J182&lt;=0,"",IF(N182="VENCIDO","Validade vencida. ","")&amp;IF(M182="Quarentena","Em quarentena. ","")&amp;IF(M182="Bloqueado","Lote bloqueado. ","")&amp;IF(N182="CRÍTICO","Validade crítica. ","")&amp;IF(N182="VENCE NA JANELA","Vence na janela. ","")))))</x:f>
      </x:c>
      <x:c r="Z182" s="167" t="n">
        <x:f>IF(OR(X182=0,Y182=""),0,IF(OR(Listas!$B$13&lt;&gt;"OK",U182&gt;0,AH182&gt;0),1,IF(N182="VENCIDO",2,IF(OR(M182="Quarentena",M182="Bloqueado"),3,IF(N182="CRÍTICO",4,5)))))</x:f>
        <x:v>0</x:v>
      </x:c>
      <x:c r="AA182" s="167" t="n">
        <x:f>IF(Z182=0,0,COUNTIFS($Z$5:$Z$204,"&gt;0",$Z$5:$Z$204,"&lt;"&amp;Z182,$X$5:$X$204,1)+COUNTIFS($Z$5:Z182,Z182,$X$5:X182,1))</x:f>
        <x:v>0</x:v>
      </x:c>
      <x:c r="AB182" s="168"/>
      <x:c r="AC182" s="168"/>
      <x:c r="AD182" s="169"/>
      <x:c r="AE182" s="167" t="str">
        <x:f>IF(X182=0,"",IF(OR(U182&gt;0,Listas!$B$13&lt;&gt;"OK"),"Dados pendentes",IF(J182&lt;=0,"Sem saldo",IF(N182="VENCIDO","Vencidos",IF(OR(M182="Quarentena",M182="Bloqueado"),"Restritos vigentes",IF(OR(N182="CRÍTICO",N182="VENCE NA JANELA"),"Liberados na janela","Demais liberados"))))))</x:f>
      </x:c>
      <x:c r="AF182" s="167" t="str">
        <x:f>IF(A182&lt;&gt;"",A182,IF(U182&gt;0,"Sem ID (linha "&amp;ROW()&amp;")",""))</x:f>
      </x:c>
      <x:c r="AG182" s="167" t="str">
        <x:f>IF(AD182="","",IF(OR(NOT(ISNUMBER(AD182)),AD182&lt;=0),"Prazo da ação inválido",""))</x:f>
      </x:c>
      <x:c r="AH182" s="167" t="n">
        <x:f>IF(AG182="",0,1)</x:f>
        <x:v>0</x:v>
      </x:c>
    </x:row>
    <x:row r="183" ht="32" customHeight="1">
      <x:c r="A183" s="27"/>
      <x:c r="B183" s="27"/>
      <x:c r="C183" s="40" t="str">
        <x:f>IF($B183="","",IFERROR(INDEX(Produtos!$B$5:$B$204,MATCH($B183,Produtos!$A$5:$A$204,0)),""))</x:f>
      </x:c>
      <x:c r="D183" s="170"/>
      <x:c r="E183" s="179"/>
      <x:c r="F183" s="179"/>
      <x:c r="G183" s="179"/>
      <x:c r="H183" s="40" t="str">
        <x:f>IF(A183="","",IF(OR(S183&lt;&gt;"",Listas!$B$13&lt;&gt;"OK"),"n.a.",G183-Listas!$B$6))</x:f>
      </x:c>
      <x:c r="I183" s="40"/>
      <x:c r="J183" s="40" t="str">
        <x:f>IF(A183="","",IF(OR(S183&lt;&gt;"",T183&gt;0,Listas!$B$13&lt;&gt;"OK"),"n.a.",SUMIFS(Movimentacoes!$H$5:$H$304,Movimentacoes!$D$5:$D$304,A183,Movimentacoes!$B$5:$B$304,"&lt;="&amp;Listas!$B$6)))</x:f>
      </x:c>
      <x:c r="K183" s="180"/>
      <x:c r="L183" s="181" t="str">
        <x:f>IF(A183="","",IF(OR(U183&gt;0,Listas!$B$13&lt;&gt;"OK"),"n.a.",J183*K183))</x:f>
      </x:c>
      <x:c r="M183" s="27"/>
      <x:c r="N183" s="40" t="str">
        <x:f>IF(A183="","",IF(OR(U183&gt;0,Listas!$B$13&lt;&gt;"OK"),"REVISAR DADOS",IF(J183=0,"SEM SALDO",IF(G183&lt;Listas!$B$6,"VENCIDO",IF(H183&lt;=Listas!$B$7,"CRÍTICO",IF(H183&lt;=Listas!$B$8,"VENCE NA JANELA","OK"))))))</x:f>
      </x:c>
      <x:c r="O183" s="41" t="str">
        <x:f>IF(A183="","",IF(AND(ISNUMBER(V183),V183&gt;0),G183,""))</x:f>
      </x:c>
      <x:c r="P183" s="40" t="str">
        <x:f>IF(A183="","",IF(OR(U183&gt;0,Listas!$B$13&lt;&gt;"OK"),"REVISAR DADOS",IF(J183=0,"ARQUIVAR LOTE",IF(M183="Quarentena","DECIDIR LIBERAÇÃO",IF(M183="Bloqueado","SEGREGAR E INVESTIGAR",IF(M183="Esgotado","REVISAR STATUS COM SALDO",IF(N183="VENCIDO","SEGREGAR E AVALIAR DESTINAÇÃO",IF(OR(N183="CRÍTICO",N183="VENCE NA JANELA"),"PRIORIZAR FEFO","MANTER ROTAÇÃO"))))))))</x:f>
      </x:c>
      <x:c r="Q183" s="27"/>
      <x:c r="R183" s="181" t="str">
        <x:f>IF(A183="","",IF(OR(U183&gt;0,Listas!$B$13&lt;&gt;"OK"),"n.a.",IF(OR(N183="VENCIDO",N183="CRÍTICO",N183="VENCE NA JANELA",M183="Quarentena",M183="Bloqueado"),L183,0)))</x:f>
      </x:c>
      <x:c r="S183" s="163" t="str">
        <x:f>IF(COUNTA(A183:B183,D183:G183,I183,K183,M183,Q183,AB183:AD183)=0,"",IF(OR(A183="",COUNTIFS($A$5:$A$204,A183)&lt;&gt;1),"Lote ausente ou duplicado",IF(OR(B183="",COUNTIFS(Produtos!$A$5:$A$204,B183)&lt;&gt;1),"SKU ausente ou desconhecido",IF(COUNTIFS(Produtos!$A$5:$A$204,B183,Produtos!$R$5:$R$204,1)&gt;0,"Revisar cadastro do produto",IF(OR(NOT(ISNUMBER(E183)),E183&lt;=0,NOT(ISNUMBER(G183)),G183&lt;=0,G183&lt;E183),"Recebimento ou validade inválida",IF(AND(F183&lt;&gt;"",OR(NOT(ISNUMBER(F183)),F183&lt;=0,F183&gt;E183)),"Fabricação inválida ou posterior ao recebimento",IF(OR(NOT(ISNUMBER(K183)),K183&lt;0,NOT(ISNUMBER(I183)),I183&lt;0),"Quantidade recebida ou custo inválido",IF(AND(M183&lt;&gt;"Liberado",M183&lt;&gt;"Quarentena",M183&lt;&gt;"Bloqueado",M183&lt;&gt;"Esgotado"),"Status de lote inválido",""))))))))</x:f>
      </x:c>
      <x:c r="T183" s="163" t="n">
        <x:f>IF(A183="",0,COUNTIFS(Movimentacoes!$D$5:$D$304,A183,Movimentacoes!$P$5:$P$304,1))</x:f>
        <x:v>0</x:v>
      </x:c>
      <x:c r="U183" s="163" t="n">
        <x:f>IF(COUNTA(A183:B183,D183:G183,I183,K183,M183,Q183,AB183:AD183)=0,0,IF(OR(S183&lt;&gt;"",T183&gt;0),1,IF(ISNUMBER(J183),IF(OR(J183&lt;0,AND(J183&gt;0,M183="Esgotado")),1,0),0)))</x:f>
        <x:v>0</x:v>
      </x:c>
      <x:c r="V183" s="163" t="str">
        <x:f>IF(A183="","",IF(OR(U183&gt;0,Listas!$B$13&lt;&gt;"OK"),"n.a.",IF(AND(J183&gt;0,M183="Liberado",G183&gt;=Listas!$B$6),J183,0)))</x:f>
      </x:c>
      <x:c r="W183" s="163" t="str">
        <x:f>IF(A183="","",IF(OR(U183&gt;0,Listas!$B$13&lt;&gt;"OK"),"n.a.",V183*K183))</x:f>
      </x:c>
      <x:c r="X183" s="167" t="n">
        <x:f>IF(COUNTA(A183:B183,D183:G183,I183,K183,M183,Q183,AB183:AD183)=0,0,IF(OR(Listas!$B$19="Todos",B183=Listas!$B$19,COUNTIFS(Produtos!$A$5:$A$204,B183)&lt;&gt;1),1,0))</x:f>
        <x:v>0</x:v>
      </x:c>
      <x:c r="Y183" s="167" t="str">
        <x:f>IF(X183=0,"",IF(Listas!$B$13&lt;&gt;"OK","Revisar parâmetros",IF(U183&gt;0,IF(S183&lt;&gt;"",S183,IF(T183&gt;0,"Revisar movimentos",IF(AND(ISNUMBER(J183),J183&lt;0),"Saldo negativo","Status esgotado com saldo"))),IF(AG183&lt;&gt;"",AG183&amp;". ","")&amp;IF(J183&lt;=0,"",IF(N183="VENCIDO","Validade vencida. ","")&amp;IF(M183="Quarentena","Em quarentena. ","")&amp;IF(M183="Bloqueado","Lote bloqueado. ","")&amp;IF(N183="CRÍTICO","Validade crítica. ","")&amp;IF(N183="VENCE NA JANELA","Vence na janela. ","")))))</x:f>
      </x:c>
      <x:c r="Z183" s="167" t="n">
        <x:f>IF(OR(X183=0,Y183=""),0,IF(OR(Listas!$B$13&lt;&gt;"OK",U183&gt;0,AH183&gt;0),1,IF(N183="VENCIDO",2,IF(OR(M183="Quarentena",M183="Bloqueado"),3,IF(N183="CRÍTICO",4,5)))))</x:f>
        <x:v>0</x:v>
      </x:c>
      <x:c r="AA183" s="167" t="n">
        <x:f>IF(Z183=0,0,COUNTIFS($Z$5:$Z$204,"&gt;0",$Z$5:$Z$204,"&lt;"&amp;Z183,$X$5:$X$204,1)+COUNTIFS($Z$5:Z183,Z183,$X$5:X183,1))</x:f>
        <x:v>0</x:v>
      </x:c>
      <x:c r="AB183" s="168"/>
      <x:c r="AC183" s="168"/>
      <x:c r="AD183" s="169"/>
      <x:c r="AE183" s="167" t="str">
        <x:f>IF(X183=0,"",IF(OR(U183&gt;0,Listas!$B$13&lt;&gt;"OK"),"Dados pendentes",IF(J183&lt;=0,"Sem saldo",IF(N183="VENCIDO","Vencidos",IF(OR(M183="Quarentena",M183="Bloqueado"),"Restritos vigentes",IF(OR(N183="CRÍTICO",N183="VENCE NA JANELA"),"Liberados na janela","Demais liberados"))))))</x:f>
      </x:c>
      <x:c r="AF183" s="167" t="str">
        <x:f>IF(A183&lt;&gt;"",A183,IF(U183&gt;0,"Sem ID (linha "&amp;ROW()&amp;")",""))</x:f>
      </x:c>
      <x:c r="AG183" s="167" t="str">
        <x:f>IF(AD183="","",IF(OR(NOT(ISNUMBER(AD183)),AD183&lt;=0),"Prazo da ação inválido",""))</x:f>
      </x:c>
      <x:c r="AH183" s="167" t="n">
        <x:f>IF(AG183="",0,1)</x:f>
        <x:v>0</x:v>
      </x:c>
    </x:row>
    <x:row r="184" ht="32" customHeight="1">
      <x:c r="A184" s="27"/>
      <x:c r="B184" s="27"/>
      <x:c r="C184" s="40" t="str">
        <x:f>IF($B184="","",IFERROR(INDEX(Produtos!$B$5:$B$204,MATCH($B184,Produtos!$A$5:$A$204,0)),""))</x:f>
      </x:c>
      <x:c r="D184" s="170"/>
      <x:c r="E184" s="179"/>
      <x:c r="F184" s="179"/>
      <x:c r="G184" s="179"/>
      <x:c r="H184" s="40" t="str">
        <x:f>IF(A184="","",IF(OR(S184&lt;&gt;"",Listas!$B$13&lt;&gt;"OK"),"n.a.",G184-Listas!$B$6))</x:f>
      </x:c>
      <x:c r="I184" s="40"/>
      <x:c r="J184" s="40" t="str">
        <x:f>IF(A184="","",IF(OR(S184&lt;&gt;"",T184&gt;0,Listas!$B$13&lt;&gt;"OK"),"n.a.",SUMIFS(Movimentacoes!$H$5:$H$304,Movimentacoes!$D$5:$D$304,A184,Movimentacoes!$B$5:$B$304,"&lt;="&amp;Listas!$B$6)))</x:f>
      </x:c>
      <x:c r="K184" s="180"/>
      <x:c r="L184" s="181" t="str">
        <x:f>IF(A184="","",IF(OR(U184&gt;0,Listas!$B$13&lt;&gt;"OK"),"n.a.",J184*K184))</x:f>
      </x:c>
      <x:c r="M184" s="27"/>
      <x:c r="N184" s="40" t="str">
        <x:f>IF(A184="","",IF(OR(U184&gt;0,Listas!$B$13&lt;&gt;"OK"),"REVISAR DADOS",IF(J184=0,"SEM SALDO",IF(G184&lt;Listas!$B$6,"VENCIDO",IF(H184&lt;=Listas!$B$7,"CRÍTICO",IF(H184&lt;=Listas!$B$8,"VENCE NA JANELA","OK"))))))</x:f>
      </x:c>
      <x:c r="O184" s="41" t="str">
        <x:f>IF(A184="","",IF(AND(ISNUMBER(V184),V184&gt;0),G184,""))</x:f>
      </x:c>
      <x:c r="P184" s="40" t="str">
        <x:f>IF(A184="","",IF(OR(U184&gt;0,Listas!$B$13&lt;&gt;"OK"),"REVISAR DADOS",IF(J184=0,"ARQUIVAR LOTE",IF(M184="Quarentena","DECIDIR LIBERAÇÃO",IF(M184="Bloqueado","SEGREGAR E INVESTIGAR",IF(M184="Esgotado","REVISAR STATUS COM SALDO",IF(N184="VENCIDO","SEGREGAR E AVALIAR DESTINAÇÃO",IF(OR(N184="CRÍTICO",N184="VENCE NA JANELA"),"PRIORIZAR FEFO","MANTER ROTAÇÃO"))))))))</x:f>
      </x:c>
      <x:c r="Q184" s="27"/>
      <x:c r="R184" s="181" t="str">
        <x:f>IF(A184="","",IF(OR(U184&gt;0,Listas!$B$13&lt;&gt;"OK"),"n.a.",IF(OR(N184="VENCIDO",N184="CRÍTICO",N184="VENCE NA JANELA",M184="Quarentena",M184="Bloqueado"),L184,0)))</x:f>
      </x:c>
      <x:c r="S184" s="163" t="str">
        <x:f>IF(COUNTA(A184:B184,D184:G184,I184,K184,M184,Q184,AB184:AD184)=0,"",IF(OR(A184="",COUNTIFS($A$5:$A$204,A184)&lt;&gt;1),"Lote ausente ou duplicado",IF(OR(B184="",COUNTIFS(Produtos!$A$5:$A$204,B184)&lt;&gt;1),"SKU ausente ou desconhecido",IF(COUNTIFS(Produtos!$A$5:$A$204,B184,Produtos!$R$5:$R$204,1)&gt;0,"Revisar cadastro do produto",IF(OR(NOT(ISNUMBER(E184)),E184&lt;=0,NOT(ISNUMBER(G184)),G184&lt;=0,G184&lt;E184),"Recebimento ou validade inválida",IF(AND(F184&lt;&gt;"",OR(NOT(ISNUMBER(F184)),F184&lt;=0,F184&gt;E184)),"Fabricação inválida ou posterior ao recebimento",IF(OR(NOT(ISNUMBER(K184)),K184&lt;0,NOT(ISNUMBER(I184)),I184&lt;0),"Quantidade recebida ou custo inválido",IF(AND(M184&lt;&gt;"Liberado",M184&lt;&gt;"Quarentena",M184&lt;&gt;"Bloqueado",M184&lt;&gt;"Esgotado"),"Status de lote inválido",""))))))))</x:f>
      </x:c>
      <x:c r="T184" s="163" t="n">
        <x:f>IF(A184="",0,COUNTIFS(Movimentacoes!$D$5:$D$304,A184,Movimentacoes!$P$5:$P$304,1))</x:f>
        <x:v>0</x:v>
      </x:c>
      <x:c r="U184" s="163" t="n">
        <x:f>IF(COUNTA(A184:B184,D184:G184,I184,K184,M184,Q184,AB184:AD184)=0,0,IF(OR(S184&lt;&gt;"",T184&gt;0),1,IF(ISNUMBER(J184),IF(OR(J184&lt;0,AND(J184&gt;0,M184="Esgotado")),1,0),0)))</x:f>
        <x:v>0</x:v>
      </x:c>
      <x:c r="V184" s="163" t="str">
        <x:f>IF(A184="","",IF(OR(U184&gt;0,Listas!$B$13&lt;&gt;"OK"),"n.a.",IF(AND(J184&gt;0,M184="Liberado",G184&gt;=Listas!$B$6),J184,0)))</x:f>
      </x:c>
      <x:c r="W184" s="163" t="str">
        <x:f>IF(A184="","",IF(OR(U184&gt;0,Listas!$B$13&lt;&gt;"OK"),"n.a.",V184*K184))</x:f>
      </x:c>
      <x:c r="X184" s="167" t="n">
        <x:f>IF(COUNTA(A184:B184,D184:G184,I184,K184,M184,Q184,AB184:AD184)=0,0,IF(OR(Listas!$B$19="Todos",B184=Listas!$B$19,COUNTIFS(Produtos!$A$5:$A$204,B184)&lt;&gt;1),1,0))</x:f>
        <x:v>0</x:v>
      </x:c>
      <x:c r="Y184" s="167" t="str">
        <x:f>IF(X184=0,"",IF(Listas!$B$13&lt;&gt;"OK","Revisar parâmetros",IF(U184&gt;0,IF(S184&lt;&gt;"",S184,IF(T184&gt;0,"Revisar movimentos",IF(AND(ISNUMBER(J184),J184&lt;0),"Saldo negativo","Status esgotado com saldo"))),IF(AG184&lt;&gt;"",AG184&amp;". ","")&amp;IF(J184&lt;=0,"",IF(N184="VENCIDO","Validade vencida. ","")&amp;IF(M184="Quarentena","Em quarentena. ","")&amp;IF(M184="Bloqueado","Lote bloqueado. ","")&amp;IF(N184="CRÍTICO","Validade crítica. ","")&amp;IF(N184="VENCE NA JANELA","Vence na janela. ","")))))</x:f>
      </x:c>
      <x:c r="Z184" s="167" t="n">
        <x:f>IF(OR(X184=0,Y184=""),0,IF(OR(Listas!$B$13&lt;&gt;"OK",U184&gt;0,AH184&gt;0),1,IF(N184="VENCIDO",2,IF(OR(M184="Quarentena",M184="Bloqueado"),3,IF(N184="CRÍTICO",4,5)))))</x:f>
        <x:v>0</x:v>
      </x:c>
      <x:c r="AA184" s="167" t="n">
        <x:f>IF(Z184=0,0,COUNTIFS($Z$5:$Z$204,"&gt;0",$Z$5:$Z$204,"&lt;"&amp;Z184,$X$5:$X$204,1)+COUNTIFS($Z$5:Z184,Z184,$X$5:X184,1))</x:f>
        <x:v>0</x:v>
      </x:c>
      <x:c r="AB184" s="168"/>
      <x:c r="AC184" s="168"/>
      <x:c r="AD184" s="169"/>
      <x:c r="AE184" s="167" t="str">
        <x:f>IF(X184=0,"",IF(OR(U184&gt;0,Listas!$B$13&lt;&gt;"OK"),"Dados pendentes",IF(J184&lt;=0,"Sem saldo",IF(N184="VENCIDO","Vencidos",IF(OR(M184="Quarentena",M184="Bloqueado"),"Restritos vigentes",IF(OR(N184="CRÍTICO",N184="VENCE NA JANELA"),"Liberados na janela","Demais liberados"))))))</x:f>
      </x:c>
      <x:c r="AF184" s="167" t="str">
        <x:f>IF(A184&lt;&gt;"",A184,IF(U184&gt;0,"Sem ID (linha "&amp;ROW()&amp;")",""))</x:f>
      </x:c>
      <x:c r="AG184" s="167" t="str">
        <x:f>IF(AD184="","",IF(OR(NOT(ISNUMBER(AD184)),AD184&lt;=0),"Prazo da ação inválido",""))</x:f>
      </x:c>
      <x:c r="AH184" s="167" t="n">
        <x:f>IF(AG184="",0,1)</x:f>
        <x:v>0</x:v>
      </x:c>
    </x:row>
    <x:row r="185" ht="32" customHeight="1">
      <x:c r="A185" s="27"/>
      <x:c r="B185" s="27"/>
      <x:c r="C185" s="40" t="str">
        <x:f>IF($B185="","",IFERROR(INDEX(Produtos!$B$5:$B$204,MATCH($B185,Produtos!$A$5:$A$204,0)),""))</x:f>
      </x:c>
      <x:c r="D185" s="170"/>
      <x:c r="E185" s="179"/>
      <x:c r="F185" s="179"/>
      <x:c r="G185" s="179"/>
      <x:c r="H185" s="40" t="str">
        <x:f>IF(A185="","",IF(OR(S185&lt;&gt;"",Listas!$B$13&lt;&gt;"OK"),"n.a.",G185-Listas!$B$6))</x:f>
      </x:c>
      <x:c r="I185" s="40"/>
      <x:c r="J185" s="40" t="str">
        <x:f>IF(A185="","",IF(OR(S185&lt;&gt;"",T185&gt;0,Listas!$B$13&lt;&gt;"OK"),"n.a.",SUMIFS(Movimentacoes!$H$5:$H$304,Movimentacoes!$D$5:$D$304,A185,Movimentacoes!$B$5:$B$304,"&lt;="&amp;Listas!$B$6)))</x:f>
      </x:c>
      <x:c r="K185" s="180"/>
      <x:c r="L185" s="181" t="str">
        <x:f>IF(A185="","",IF(OR(U185&gt;0,Listas!$B$13&lt;&gt;"OK"),"n.a.",J185*K185))</x:f>
      </x:c>
      <x:c r="M185" s="27"/>
      <x:c r="N185" s="40" t="str">
        <x:f>IF(A185="","",IF(OR(U185&gt;0,Listas!$B$13&lt;&gt;"OK"),"REVISAR DADOS",IF(J185=0,"SEM SALDO",IF(G185&lt;Listas!$B$6,"VENCIDO",IF(H185&lt;=Listas!$B$7,"CRÍTICO",IF(H185&lt;=Listas!$B$8,"VENCE NA JANELA","OK"))))))</x:f>
      </x:c>
      <x:c r="O185" s="41" t="str">
        <x:f>IF(A185="","",IF(AND(ISNUMBER(V185),V185&gt;0),G185,""))</x:f>
      </x:c>
      <x:c r="P185" s="40" t="str">
        <x:f>IF(A185="","",IF(OR(U185&gt;0,Listas!$B$13&lt;&gt;"OK"),"REVISAR DADOS",IF(J185=0,"ARQUIVAR LOTE",IF(M185="Quarentena","DECIDIR LIBERAÇÃO",IF(M185="Bloqueado","SEGREGAR E INVESTIGAR",IF(M185="Esgotado","REVISAR STATUS COM SALDO",IF(N185="VENCIDO","SEGREGAR E AVALIAR DESTINAÇÃO",IF(OR(N185="CRÍTICO",N185="VENCE NA JANELA"),"PRIORIZAR FEFO","MANTER ROTAÇÃO"))))))))</x:f>
      </x:c>
      <x:c r="Q185" s="27"/>
      <x:c r="R185" s="181" t="str">
        <x:f>IF(A185="","",IF(OR(U185&gt;0,Listas!$B$13&lt;&gt;"OK"),"n.a.",IF(OR(N185="VENCIDO",N185="CRÍTICO",N185="VENCE NA JANELA",M185="Quarentena",M185="Bloqueado"),L185,0)))</x:f>
      </x:c>
      <x:c r="S185" s="163" t="str">
        <x:f>IF(COUNTA(A185:B185,D185:G185,I185,K185,M185,Q185,AB185:AD185)=0,"",IF(OR(A185="",COUNTIFS($A$5:$A$204,A185)&lt;&gt;1),"Lote ausente ou duplicado",IF(OR(B185="",COUNTIFS(Produtos!$A$5:$A$204,B185)&lt;&gt;1),"SKU ausente ou desconhecido",IF(COUNTIFS(Produtos!$A$5:$A$204,B185,Produtos!$R$5:$R$204,1)&gt;0,"Revisar cadastro do produto",IF(OR(NOT(ISNUMBER(E185)),E185&lt;=0,NOT(ISNUMBER(G185)),G185&lt;=0,G185&lt;E185),"Recebimento ou validade inválida",IF(AND(F185&lt;&gt;"",OR(NOT(ISNUMBER(F185)),F185&lt;=0,F185&gt;E185)),"Fabricação inválida ou posterior ao recebimento",IF(OR(NOT(ISNUMBER(K185)),K185&lt;0,NOT(ISNUMBER(I185)),I185&lt;0),"Quantidade recebida ou custo inválido",IF(AND(M185&lt;&gt;"Liberado",M185&lt;&gt;"Quarentena",M185&lt;&gt;"Bloqueado",M185&lt;&gt;"Esgotado"),"Status de lote inválido",""))))))))</x:f>
      </x:c>
      <x:c r="T185" s="163" t="n">
        <x:f>IF(A185="",0,COUNTIFS(Movimentacoes!$D$5:$D$304,A185,Movimentacoes!$P$5:$P$304,1))</x:f>
        <x:v>0</x:v>
      </x:c>
      <x:c r="U185" s="163" t="n">
        <x:f>IF(COUNTA(A185:B185,D185:G185,I185,K185,M185,Q185,AB185:AD185)=0,0,IF(OR(S185&lt;&gt;"",T185&gt;0),1,IF(ISNUMBER(J185),IF(OR(J185&lt;0,AND(J185&gt;0,M185="Esgotado")),1,0),0)))</x:f>
        <x:v>0</x:v>
      </x:c>
      <x:c r="V185" s="163" t="str">
        <x:f>IF(A185="","",IF(OR(U185&gt;0,Listas!$B$13&lt;&gt;"OK"),"n.a.",IF(AND(J185&gt;0,M185="Liberado",G185&gt;=Listas!$B$6),J185,0)))</x:f>
      </x:c>
      <x:c r="W185" s="163" t="str">
        <x:f>IF(A185="","",IF(OR(U185&gt;0,Listas!$B$13&lt;&gt;"OK"),"n.a.",V185*K185))</x:f>
      </x:c>
      <x:c r="X185" s="167" t="n">
        <x:f>IF(COUNTA(A185:B185,D185:G185,I185,K185,M185,Q185,AB185:AD185)=0,0,IF(OR(Listas!$B$19="Todos",B185=Listas!$B$19,COUNTIFS(Produtos!$A$5:$A$204,B185)&lt;&gt;1),1,0))</x:f>
        <x:v>0</x:v>
      </x:c>
      <x:c r="Y185" s="167" t="str">
        <x:f>IF(X185=0,"",IF(Listas!$B$13&lt;&gt;"OK","Revisar parâmetros",IF(U185&gt;0,IF(S185&lt;&gt;"",S185,IF(T185&gt;0,"Revisar movimentos",IF(AND(ISNUMBER(J185),J185&lt;0),"Saldo negativo","Status esgotado com saldo"))),IF(AG185&lt;&gt;"",AG185&amp;". ","")&amp;IF(J185&lt;=0,"",IF(N185="VENCIDO","Validade vencida. ","")&amp;IF(M185="Quarentena","Em quarentena. ","")&amp;IF(M185="Bloqueado","Lote bloqueado. ","")&amp;IF(N185="CRÍTICO","Validade crítica. ","")&amp;IF(N185="VENCE NA JANELA","Vence na janela. ","")))))</x:f>
      </x:c>
      <x:c r="Z185" s="167" t="n">
        <x:f>IF(OR(X185=0,Y185=""),0,IF(OR(Listas!$B$13&lt;&gt;"OK",U185&gt;0,AH185&gt;0),1,IF(N185="VENCIDO",2,IF(OR(M185="Quarentena",M185="Bloqueado"),3,IF(N185="CRÍTICO",4,5)))))</x:f>
        <x:v>0</x:v>
      </x:c>
      <x:c r="AA185" s="167" t="n">
        <x:f>IF(Z185=0,0,COUNTIFS($Z$5:$Z$204,"&gt;0",$Z$5:$Z$204,"&lt;"&amp;Z185,$X$5:$X$204,1)+COUNTIFS($Z$5:Z185,Z185,$X$5:X185,1))</x:f>
        <x:v>0</x:v>
      </x:c>
      <x:c r="AB185" s="168"/>
      <x:c r="AC185" s="168"/>
      <x:c r="AD185" s="169"/>
      <x:c r="AE185" s="167" t="str">
        <x:f>IF(X185=0,"",IF(OR(U185&gt;0,Listas!$B$13&lt;&gt;"OK"),"Dados pendentes",IF(J185&lt;=0,"Sem saldo",IF(N185="VENCIDO","Vencidos",IF(OR(M185="Quarentena",M185="Bloqueado"),"Restritos vigentes",IF(OR(N185="CRÍTICO",N185="VENCE NA JANELA"),"Liberados na janela","Demais liberados"))))))</x:f>
      </x:c>
      <x:c r="AF185" s="167" t="str">
        <x:f>IF(A185&lt;&gt;"",A185,IF(U185&gt;0,"Sem ID (linha "&amp;ROW()&amp;")",""))</x:f>
      </x:c>
      <x:c r="AG185" s="167" t="str">
        <x:f>IF(AD185="","",IF(OR(NOT(ISNUMBER(AD185)),AD185&lt;=0),"Prazo da ação inválido",""))</x:f>
      </x:c>
      <x:c r="AH185" s="167" t="n">
        <x:f>IF(AG185="",0,1)</x:f>
        <x:v>0</x:v>
      </x:c>
    </x:row>
    <x:row r="186" ht="32" customHeight="1">
      <x:c r="A186" s="27"/>
      <x:c r="B186" s="27"/>
      <x:c r="C186" s="40" t="str">
        <x:f>IF($B186="","",IFERROR(INDEX(Produtos!$B$5:$B$204,MATCH($B186,Produtos!$A$5:$A$204,0)),""))</x:f>
      </x:c>
      <x:c r="D186" s="170"/>
      <x:c r="E186" s="179"/>
      <x:c r="F186" s="179"/>
      <x:c r="G186" s="179"/>
      <x:c r="H186" s="40" t="str">
        <x:f>IF(A186="","",IF(OR(S186&lt;&gt;"",Listas!$B$13&lt;&gt;"OK"),"n.a.",G186-Listas!$B$6))</x:f>
      </x:c>
      <x:c r="I186" s="40"/>
      <x:c r="J186" s="40" t="str">
        <x:f>IF(A186="","",IF(OR(S186&lt;&gt;"",T186&gt;0,Listas!$B$13&lt;&gt;"OK"),"n.a.",SUMIFS(Movimentacoes!$H$5:$H$304,Movimentacoes!$D$5:$D$304,A186,Movimentacoes!$B$5:$B$304,"&lt;="&amp;Listas!$B$6)))</x:f>
      </x:c>
      <x:c r="K186" s="180"/>
      <x:c r="L186" s="181" t="str">
        <x:f>IF(A186="","",IF(OR(U186&gt;0,Listas!$B$13&lt;&gt;"OK"),"n.a.",J186*K186))</x:f>
      </x:c>
      <x:c r="M186" s="27"/>
      <x:c r="N186" s="40" t="str">
        <x:f>IF(A186="","",IF(OR(U186&gt;0,Listas!$B$13&lt;&gt;"OK"),"REVISAR DADOS",IF(J186=0,"SEM SALDO",IF(G186&lt;Listas!$B$6,"VENCIDO",IF(H186&lt;=Listas!$B$7,"CRÍTICO",IF(H186&lt;=Listas!$B$8,"VENCE NA JANELA","OK"))))))</x:f>
      </x:c>
      <x:c r="O186" s="41" t="str">
        <x:f>IF(A186="","",IF(AND(ISNUMBER(V186),V186&gt;0),G186,""))</x:f>
      </x:c>
      <x:c r="P186" s="40" t="str">
        <x:f>IF(A186="","",IF(OR(U186&gt;0,Listas!$B$13&lt;&gt;"OK"),"REVISAR DADOS",IF(J186=0,"ARQUIVAR LOTE",IF(M186="Quarentena","DECIDIR LIBERAÇÃO",IF(M186="Bloqueado","SEGREGAR E INVESTIGAR",IF(M186="Esgotado","REVISAR STATUS COM SALDO",IF(N186="VENCIDO","SEGREGAR E AVALIAR DESTINAÇÃO",IF(OR(N186="CRÍTICO",N186="VENCE NA JANELA"),"PRIORIZAR FEFO","MANTER ROTAÇÃO"))))))))</x:f>
      </x:c>
      <x:c r="Q186" s="27"/>
      <x:c r="R186" s="181" t="str">
        <x:f>IF(A186="","",IF(OR(U186&gt;0,Listas!$B$13&lt;&gt;"OK"),"n.a.",IF(OR(N186="VENCIDO",N186="CRÍTICO",N186="VENCE NA JANELA",M186="Quarentena",M186="Bloqueado"),L186,0)))</x:f>
      </x:c>
      <x:c r="S186" s="163" t="str">
        <x:f>IF(COUNTA(A186:B186,D186:G186,I186,K186,M186,Q186,AB186:AD186)=0,"",IF(OR(A186="",COUNTIFS($A$5:$A$204,A186)&lt;&gt;1),"Lote ausente ou duplicado",IF(OR(B186="",COUNTIFS(Produtos!$A$5:$A$204,B186)&lt;&gt;1),"SKU ausente ou desconhecido",IF(COUNTIFS(Produtos!$A$5:$A$204,B186,Produtos!$R$5:$R$204,1)&gt;0,"Revisar cadastro do produto",IF(OR(NOT(ISNUMBER(E186)),E186&lt;=0,NOT(ISNUMBER(G186)),G186&lt;=0,G186&lt;E186),"Recebimento ou validade inválida",IF(AND(F186&lt;&gt;"",OR(NOT(ISNUMBER(F186)),F186&lt;=0,F186&gt;E186)),"Fabricação inválida ou posterior ao recebimento",IF(OR(NOT(ISNUMBER(K186)),K186&lt;0,NOT(ISNUMBER(I186)),I186&lt;0),"Quantidade recebida ou custo inválido",IF(AND(M186&lt;&gt;"Liberado",M186&lt;&gt;"Quarentena",M186&lt;&gt;"Bloqueado",M186&lt;&gt;"Esgotado"),"Status de lote inválido",""))))))))</x:f>
      </x:c>
      <x:c r="T186" s="163" t="n">
        <x:f>IF(A186="",0,COUNTIFS(Movimentacoes!$D$5:$D$304,A186,Movimentacoes!$P$5:$P$304,1))</x:f>
        <x:v>0</x:v>
      </x:c>
      <x:c r="U186" s="163" t="n">
        <x:f>IF(COUNTA(A186:B186,D186:G186,I186,K186,M186,Q186,AB186:AD186)=0,0,IF(OR(S186&lt;&gt;"",T186&gt;0),1,IF(ISNUMBER(J186),IF(OR(J186&lt;0,AND(J186&gt;0,M186="Esgotado")),1,0),0)))</x:f>
        <x:v>0</x:v>
      </x:c>
      <x:c r="V186" s="163" t="str">
        <x:f>IF(A186="","",IF(OR(U186&gt;0,Listas!$B$13&lt;&gt;"OK"),"n.a.",IF(AND(J186&gt;0,M186="Liberado",G186&gt;=Listas!$B$6),J186,0)))</x:f>
      </x:c>
      <x:c r="W186" s="163" t="str">
        <x:f>IF(A186="","",IF(OR(U186&gt;0,Listas!$B$13&lt;&gt;"OK"),"n.a.",V186*K186))</x:f>
      </x:c>
      <x:c r="X186" s="167" t="n">
        <x:f>IF(COUNTA(A186:B186,D186:G186,I186,K186,M186,Q186,AB186:AD186)=0,0,IF(OR(Listas!$B$19="Todos",B186=Listas!$B$19,COUNTIFS(Produtos!$A$5:$A$204,B186)&lt;&gt;1),1,0))</x:f>
        <x:v>0</x:v>
      </x:c>
      <x:c r="Y186" s="167" t="str">
        <x:f>IF(X186=0,"",IF(Listas!$B$13&lt;&gt;"OK","Revisar parâmetros",IF(U186&gt;0,IF(S186&lt;&gt;"",S186,IF(T186&gt;0,"Revisar movimentos",IF(AND(ISNUMBER(J186),J186&lt;0),"Saldo negativo","Status esgotado com saldo"))),IF(AG186&lt;&gt;"",AG186&amp;". ","")&amp;IF(J186&lt;=0,"",IF(N186="VENCIDO","Validade vencida. ","")&amp;IF(M186="Quarentena","Em quarentena. ","")&amp;IF(M186="Bloqueado","Lote bloqueado. ","")&amp;IF(N186="CRÍTICO","Validade crítica. ","")&amp;IF(N186="VENCE NA JANELA","Vence na janela. ","")))))</x:f>
      </x:c>
      <x:c r="Z186" s="167" t="n">
        <x:f>IF(OR(X186=0,Y186=""),0,IF(OR(Listas!$B$13&lt;&gt;"OK",U186&gt;0,AH186&gt;0),1,IF(N186="VENCIDO",2,IF(OR(M186="Quarentena",M186="Bloqueado"),3,IF(N186="CRÍTICO",4,5)))))</x:f>
        <x:v>0</x:v>
      </x:c>
      <x:c r="AA186" s="167" t="n">
        <x:f>IF(Z186=0,0,COUNTIFS($Z$5:$Z$204,"&gt;0",$Z$5:$Z$204,"&lt;"&amp;Z186,$X$5:$X$204,1)+COUNTIFS($Z$5:Z186,Z186,$X$5:X186,1))</x:f>
        <x:v>0</x:v>
      </x:c>
      <x:c r="AB186" s="168"/>
      <x:c r="AC186" s="168"/>
      <x:c r="AD186" s="169"/>
      <x:c r="AE186" s="167" t="str">
        <x:f>IF(X186=0,"",IF(OR(U186&gt;0,Listas!$B$13&lt;&gt;"OK"),"Dados pendentes",IF(J186&lt;=0,"Sem saldo",IF(N186="VENCIDO","Vencidos",IF(OR(M186="Quarentena",M186="Bloqueado"),"Restritos vigentes",IF(OR(N186="CRÍTICO",N186="VENCE NA JANELA"),"Liberados na janela","Demais liberados"))))))</x:f>
      </x:c>
      <x:c r="AF186" s="167" t="str">
        <x:f>IF(A186&lt;&gt;"",A186,IF(U186&gt;0,"Sem ID (linha "&amp;ROW()&amp;")",""))</x:f>
      </x:c>
      <x:c r="AG186" s="167" t="str">
        <x:f>IF(AD186="","",IF(OR(NOT(ISNUMBER(AD186)),AD186&lt;=0),"Prazo da ação inválido",""))</x:f>
      </x:c>
      <x:c r="AH186" s="167" t="n">
        <x:f>IF(AG186="",0,1)</x:f>
        <x:v>0</x:v>
      </x:c>
    </x:row>
    <x:row r="187" ht="32" customHeight="1">
      <x:c r="A187" s="27"/>
      <x:c r="B187" s="27"/>
      <x:c r="C187" s="40" t="str">
        <x:f>IF($B187="","",IFERROR(INDEX(Produtos!$B$5:$B$204,MATCH($B187,Produtos!$A$5:$A$204,0)),""))</x:f>
      </x:c>
      <x:c r="D187" s="170"/>
      <x:c r="E187" s="179"/>
      <x:c r="F187" s="179"/>
      <x:c r="G187" s="179"/>
      <x:c r="H187" s="40" t="str">
        <x:f>IF(A187="","",IF(OR(S187&lt;&gt;"",Listas!$B$13&lt;&gt;"OK"),"n.a.",G187-Listas!$B$6))</x:f>
      </x:c>
      <x:c r="I187" s="40"/>
      <x:c r="J187" s="40" t="str">
        <x:f>IF(A187="","",IF(OR(S187&lt;&gt;"",T187&gt;0,Listas!$B$13&lt;&gt;"OK"),"n.a.",SUMIFS(Movimentacoes!$H$5:$H$304,Movimentacoes!$D$5:$D$304,A187,Movimentacoes!$B$5:$B$304,"&lt;="&amp;Listas!$B$6)))</x:f>
      </x:c>
      <x:c r="K187" s="180"/>
      <x:c r="L187" s="181" t="str">
        <x:f>IF(A187="","",IF(OR(U187&gt;0,Listas!$B$13&lt;&gt;"OK"),"n.a.",J187*K187))</x:f>
      </x:c>
      <x:c r="M187" s="27"/>
      <x:c r="N187" s="40" t="str">
        <x:f>IF(A187="","",IF(OR(U187&gt;0,Listas!$B$13&lt;&gt;"OK"),"REVISAR DADOS",IF(J187=0,"SEM SALDO",IF(G187&lt;Listas!$B$6,"VENCIDO",IF(H187&lt;=Listas!$B$7,"CRÍTICO",IF(H187&lt;=Listas!$B$8,"VENCE NA JANELA","OK"))))))</x:f>
      </x:c>
      <x:c r="O187" s="41" t="str">
        <x:f>IF(A187="","",IF(AND(ISNUMBER(V187),V187&gt;0),G187,""))</x:f>
      </x:c>
      <x:c r="P187" s="40" t="str">
        <x:f>IF(A187="","",IF(OR(U187&gt;0,Listas!$B$13&lt;&gt;"OK"),"REVISAR DADOS",IF(J187=0,"ARQUIVAR LOTE",IF(M187="Quarentena","DECIDIR LIBERAÇÃO",IF(M187="Bloqueado","SEGREGAR E INVESTIGAR",IF(M187="Esgotado","REVISAR STATUS COM SALDO",IF(N187="VENCIDO","SEGREGAR E AVALIAR DESTINAÇÃO",IF(OR(N187="CRÍTICO",N187="VENCE NA JANELA"),"PRIORIZAR FEFO","MANTER ROTAÇÃO"))))))))</x:f>
      </x:c>
      <x:c r="Q187" s="27"/>
      <x:c r="R187" s="181" t="str">
        <x:f>IF(A187="","",IF(OR(U187&gt;0,Listas!$B$13&lt;&gt;"OK"),"n.a.",IF(OR(N187="VENCIDO",N187="CRÍTICO",N187="VENCE NA JANELA",M187="Quarentena",M187="Bloqueado"),L187,0)))</x:f>
      </x:c>
      <x:c r="S187" s="163" t="str">
        <x:f>IF(COUNTA(A187:B187,D187:G187,I187,K187,M187,Q187,AB187:AD187)=0,"",IF(OR(A187="",COUNTIFS($A$5:$A$204,A187)&lt;&gt;1),"Lote ausente ou duplicado",IF(OR(B187="",COUNTIFS(Produtos!$A$5:$A$204,B187)&lt;&gt;1),"SKU ausente ou desconhecido",IF(COUNTIFS(Produtos!$A$5:$A$204,B187,Produtos!$R$5:$R$204,1)&gt;0,"Revisar cadastro do produto",IF(OR(NOT(ISNUMBER(E187)),E187&lt;=0,NOT(ISNUMBER(G187)),G187&lt;=0,G187&lt;E187),"Recebimento ou validade inválida",IF(AND(F187&lt;&gt;"",OR(NOT(ISNUMBER(F187)),F187&lt;=0,F187&gt;E187)),"Fabricação inválida ou posterior ao recebimento",IF(OR(NOT(ISNUMBER(K187)),K187&lt;0,NOT(ISNUMBER(I187)),I187&lt;0),"Quantidade recebida ou custo inválido",IF(AND(M187&lt;&gt;"Liberado",M187&lt;&gt;"Quarentena",M187&lt;&gt;"Bloqueado",M187&lt;&gt;"Esgotado"),"Status de lote inválido",""))))))))</x:f>
      </x:c>
      <x:c r="T187" s="163" t="n">
        <x:f>IF(A187="",0,COUNTIFS(Movimentacoes!$D$5:$D$304,A187,Movimentacoes!$P$5:$P$304,1))</x:f>
        <x:v>0</x:v>
      </x:c>
      <x:c r="U187" s="163" t="n">
        <x:f>IF(COUNTA(A187:B187,D187:G187,I187,K187,M187,Q187,AB187:AD187)=0,0,IF(OR(S187&lt;&gt;"",T187&gt;0),1,IF(ISNUMBER(J187),IF(OR(J187&lt;0,AND(J187&gt;0,M187="Esgotado")),1,0),0)))</x:f>
        <x:v>0</x:v>
      </x:c>
      <x:c r="V187" s="163" t="str">
        <x:f>IF(A187="","",IF(OR(U187&gt;0,Listas!$B$13&lt;&gt;"OK"),"n.a.",IF(AND(J187&gt;0,M187="Liberado",G187&gt;=Listas!$B$6),J187,0)))</x:f>
      </x:c>
      <x:c r="W187" s="163" t="str">
        <x:f>IF(A187="","",IF(OR(U187&gt;0,Listas!$B$13&lt;&gt;"OK"),"n.a.",V187*K187))</x:f>
      </x:c>
      <x:c r="X187" s="167" t="n">
        <x:f>IF(COUNTA(A187:B187,D187:G187,I187,K187,M187,Q187,AB187:AD187)=0,0,IF(OR(Listas!$B$19="Todos",B187=Listas!$B$19,COUNTIFS(Produtos!$A$5:$A$204,B187)&lt;&gt;1),1,0))</x:f>
        <x:v>0</x:v>
      </x:c>
      <x:c r="Y187" s="167" t="str">
        <x:f>IF(X187=0,"",IF(Listas!$B$13&lt;&gt;"OK","Revisar parâmetros",IF(U187&gt;0,IF(S187&lt;&gt;"",S187,IF(T187&gt;0,"Revisar movimentos",IF(AND(ISNUMBER(J187),J187&lt;0),"Saldo negativo","Status esgotado com saldo"))),IF(AG187&lt;&gt;"",AG187&amp;". ","")&amp;IF(J187&lt;=0,"",IF(N187="VENCIDO","Validade vencida. ","")&amp;IF(M187="Quarentena","Em quarentena. ","")&amp;IF(M187="Bloqueado","Lote bloqueado. ","")&amp;IF(N187="CRÍTICO","Validade crítica. ","")&amp;IF(N187="VENCE NA JANELA","Vence na janela. ","")))))</x:f>
      </x:c>
      <x:c r="Z187" s="167" t="n">
        <x:f>IF(OR(X187=0,Y187=""),0,IF(OR(Listas!$B$13&lt;&gt;"OK",U187&gt;0,AH187&gt;0),1,IF(N187="VENCIDO",2,IF(OR(M187="Quarentena",M187="Bloqueado"),3,IF(N187="CRÍTICO",4,5)))))</x:f>
        <x:v>0</x:v>
      </x:c>
      <x:c r="AA187" s="167" t="n">
        <x:f>IF(Z187=0,0,COUNTIFS($Z$5:$Z$204,"&gt;0",$Z$5:$Z$204,"&lt;"&amp;Z187,$X$5:$X$204,1)+COUNTIFS($Z$5:Z187,Z187,$X$5:X187,1))</x:f>
        <x:v>0</x:v>
      </x:c>
      <x:c r="AB187" s="168"/>
      <x:c r="AC187" s="168"/>
      <x:c r="AD187" s="169"/>
      <x:c r="AE187" s="167" t="str">
        <x:f>IF(X187=0,"",IF(OR(U187&gt;0,Listas!$B$13&lt;&gt;"OK"),"Dados pendentes",IF(J187&lt;=0,"Sem saldo",IF(N187="VENCIDO","Vencidos",IF(OR(M187="Quarentena",M187="Bloqueado"),"Restritos vigentes",IF(OR(N187="CRÍTICO",N187="VENCE NA JANELA"),"Liberados na janela","Demais liberados"))))))</x:f>
      </x:c>
      <x:c r="AF187" s="167" t="str">
        <x:f>IF(A187&lt;&gt;"",A187,IF(U187&gt;0,"Sem ID (linha "&amp;ROW()&amp;")",""))</x:f>
      </x:c>
      <x:c r="AG187" s="167" t="str">
        <x:f>IF(AD187="","",IF(OR(NOT(ISNUMBER(AD187)),AD187&lt;=0),"Prazo da ação inválido",""))</x:f>
      </x:c>
      <x:c r="AH187" s="167" t="n">
        <x:f>IF(AG187="",0,1)</x:f>
        <x:v>0</x:v>
      </x:c>
    </x:row>
    <x:row r="188" ht="32" customHeight="1">
      <x:c r="A188" s="27"/>
      <x:c r="B188" s="27"/>
      <x:c r="C188" s="40" t="str">
        <x:f>IF($B188="","",IFERROR(INDEX(Produtos!$B$5:$B$204,MATCH($B188,Produtos!$A$5:$A$204,0)),""))</x:f>
      </x:c>
      <x:c r="D188" s="170"/>
      <x:c r="E188" s="179"/>
      <x:c r="F188" s="179"/>
      <x:c r="G188" s="179"/>
      <x:c r="H188" s="40" t="str">
        <x:f>IF(A188="","",IF(OR(S188&lt;&gt;"",Listas!$B$13&lt;&gt;"OK"),"n.a.",G188-Listas!$B$6))</x:f>
      </x:c>
      <x:c r="I188" s="40"/>
      <x:c r="J188" s="40" t="str">
        <x:f>IF(A188="","",IF(OR(S188&lt;&gt;"",T188&gt;0,Listas!$B$13&lt;&gt;"OK"),"n.a.",SUMIFS(Movimentacoes!$H$5:$H$304,Movimentacoes!$D$5:$D$304,A188,Movimentacoes!$B$5:$B$304,"&lt;="&amp;Listas!$B$6)))</x:f>
      </x:c>
      <x:c r="K188" s="180"/>
      <x:c r="L188" s="181" t="str">
        <x:f>IF(A188="","",IF(OR(U188&gt;0,Listas!$B$13&lt;&gt;"OK"),"n.a.",J188*K188))</x:f>
      </x:c>
      <x:c r="M188" s="27"/>
      <x:c r="N188" s="40" t="str">
        <x:f>IF(A188="","",IF(OR(U188&gt;0,Listas!$B$13&lt;&gt;"OK"),"REVISAR DADOS",IF(J188=0,"SEM SALDO",IF(G188&lt;Listas!$B$6,"VENCIDO",IF(H188&lt;=Listas!$B$7,"CRÍTICO",IF(H188&lt;=Listas!$B$8,"VENCE NA JANELA","OK"))))))</x:f>
      </x:c>
      <x:c r="O188" s="41" t="str">
        <x:f>IF(A188="","",IF(AND(ISNUMBER(V188),V188&gt;0),G188,""))</x:f>
      </x:c>
      <x:c r="P188" s="40" t="str">
        <x:f>IF(A188="","",IF(OR(U188&gt;0,Listas!$B$13&lt;&gt;"OK"),"REVISAR DADOS",IF(J188=0,"ARQUIVAR LOTE",IF(M188="Quarentena","DECIDIR LIBERAÇÃO",IF(M188="Bloqueado","SEGREGAR E INVESTIGAR",IF(M188="Esgotado","REVISAR STATUS COM SALDO",IF(N188="VENCIDO","SEGREGAR E AVALIAR DESTINAÇÃO",IF(OR(N188="CRÍTICO",N188="VENCE NA JANELA"),"PRIORIZAR FEFO","MANTER ROTAÇÃO"))))))))</x:f>
      </x:c>
      <x:c r="Q188" s="27"/>
      <x:c r="R188" s="181" t="str">
        <x:f>IF(A188="","",IF(OR(U188&gt;0,Listas!$B$13&lt;&gt;"OK"),"n.a.",IF(OR(N188="VENCIDO",N188="CRÍTICO",N188="VENCE NA JANELA",M188="Quarentena",M188="Bloqueado"),L188,0)))</x:f>
      </x:c>
      <x:c r="S188" s="163" t="str">
        <x:f>IF(COUNTA(A188:B188,D188:G188,I188,K188,M188,Q188,AB188:AD188)=0,"",IF(OR(A188="",COUNTIFS($A$5:$A$204,A188)&lt;&gt;1),"Lote ausente ou duplicado",IF(OR(B188="",COUNTIFS(Produtos!$A$5:$A$204,B188)&lt;&gt;1),"SKU ausente ou desconhecido",IF(COUNTIFS(Produtos!$A$5:$A$204,B188,Produtos!$R$5:$R$204,1)&gt;0,"Revisar cadastro do produto",IF(OR(NOT(ISNUMBER(E188)),E188&lt;=0,NOT(ISNUMBER(G188)),G188&lt;=0,G188&lt;E188),"Recebimento ou validade inválida",IF(AND(F188&lt;&gt;"",OR(NOT(ISNUMBER(F188)),F188&lt;=0,F188&gt;E188)),"Fabricação inválida ou posterior ao recebimento",IF(OR(NOT(ISNUMBER(K188)),K188&lt;0,NOT(ISNUMBER(I188)),I188&lt;0),"Quantidade recebida ou custo inválido",IF(AND(M188&lt;&gt;"Liberado",M188&lt;&gt;"Quarentena",M188&lt;&gt;"Bloqueado",M188&lt;&gt;"Esgotado"),"Status de lote inválido",""))))))))</x:f>
      </x:c>
      <x:c r="T188" s="163" t="n">
        <x:f>IF(A188="",0,COUNTIFS(Movimentacoes!$D$5:$D$304,A188,Movimentacoes!$P$5:$P$304,1))</x:f>
        <x:v>0</x:v>
      </x:c>
      <x:c r="U188" s="163" t="n">
        <x:f>IF(COUNTA(A188:B188,D188:G188,I188,K188,M188,Q188,AB188:AD188)=0,0,IF(OR(S188&lt;&gt;"",T188&gt;0),1,IF(ISNUMBER(J188),IF(OR(J188&lt;0,AND(J188&gt;0,M188="Esgotado")),1,0),0)))</x:f>
        <x:v>0</x:v>
      </x:c>
      <x:c r="V188" s="163" t="str">
        <x:f>IF(A188="","",IF(OR(U188&gt;0,Listas!$B$13&lt;&gt;"OK"),"n.a.",IF(AND(J188&gt;0,M188="Liberado",G188&gt;=Listas!$B$6),J188,0)))</x:f>
      </x:c>
      <x:c r="W188" s="163" t="str">
        <x:f>IF(A188="","",IF(OR(U188&gt;0,Listas!$B$13&lt;&gt;"OK"),"n.a.",V188*K188))</x:f>
      </x:c>
      <x:c r="X188" s="167" t="n">
        <x:f>IF(COUNTA(A188:B188,D188:G188,I188,K188,M188,Q188,AB188:AD188)=0,0,IF(OR(Listas!$B$19="Todos",B188=Listas!$B$19,COUNTIFS(Produtos!$A$5:$A$204,B188)&lt;&gt;1),1,0))</x:f>
        <x:v>0</x:v>
      </x:c>
      <x:c r="Y188" s="167" t="str">
        <x:f>IF(X188=0,"",IF(Listas!$B$13&lt;&gt;"OK","Revisar parâmetros",IF(U188&gt;0,IF(S188&lt;&gt;"",S188,IF(T188&gt;0,"Revisar movimentos",IF(AND(ISNUMBER(J188),J188&lt;0),"Saldo negativo","Status esgotado com saldo"))),IF(AG188&lt;&gt;"",AG188&amp;". ","")&amp;IF(J188&lt;=0,"",IF(N188="VENCIDO","Validade vencida. ","")&amp;IF(M188="Quarentena","Em quarentena. ","")&amp;IF(M188="Bloqueado","Lote bloqueado. ","")&amp;IF(N188="CRÍTICO","Validade crítica. ","")&amp;IF(N188="VENCE NA JANELA","Vence na janela. ","")))))</x:f>
      </x:c>
      <x:c r="Z188" s="167" t="n">
        <x:f>IF(OR(X188=0,Y188=""),0,IF(OR(Listas!$B$13&lt;&gt;"OK",U188&gt;0,AH188&gt;0),1,IF(N188="VENCIDO",2,IF(OR(M188="Quarentena",M188="Bloqueado"),3,IF(N188="CRÍTICO",4,5)))))</x:f>
        <x:v>0</x:v>
      </x:c>
      <x:c r="AA188" s="167" t="n">
        <x:f>IF(Z188=0,0,COUNTIFS($Z$5:$Z$204,"&gt;0",$Z$5:$Z$204,"&lt;"&amp;Z188,$X$5:$X$204,1)+COUNTIFS($Z$5:Z188,Z188,$X$5:X188,1))</x:f>
        <x:v>0</x:v>
      </x:c>
      <x:c r="AB188" s="168"/>
      <x:c r="AC188" s="168"/>
      <x:c r="AD188" s="169"/>
      <x:c r="AE188" s="167" t="str">
        <x:f>IF(X188=0,"",IF(OR(U188&gt;0,Listas!$B$13&lt;&gt;"OK"),"Dados pendentes",IF(J188&lt;=0,"Sem saldo",IF(N188="VENCIDO","Vencidos",IF(OR(M188="Quarentena",M188="Bloqueado"),"Restritos vigentes",IF(OR(N188="CRÍTICO",N188="VENCE NA JANELA"),"Liberados na janela","Demais liberados"))))))</x:f>
      </x:c>
      <x:c r="AF188" s="167" t="str">
        <x:f>IF(A188&lt;&gt;"",A188,IF(U188&gt;0,"Sem ID (linha "&amp;ROW()&amp;")",""))</x:f>
      </x:c>
      <x:c r="AG188" s="167" t="str">
        <x:f>IF(AD188="","",IF(OR(NOT(ISNUMBER(AD188)),AD188&lt;=0),"Prazo da ação inválido",""))</x:f>
      </x:c>
      <x:c r="AH188" s="167" t="n">
        <x:f>IF(AG188="",0,1)</x:f>
        <x:v>0</x:v>
      </x:c>
    </x:row>
    <x:row r="189" ht="32" customHeight="1">
      <x:c r="A189" s="27"/>
      <x:c r="B189" s="27"/>
      <x:c r="C189" s="40" t="str">
        <x:f>IF($B189="","",IFERROR(INDEX(Produtos!$B$5:$B$204,MATCH($B189,Produtos!$A$5:$A$204,0)),""))</x:f>
      </x:c>
      <x:c r="D189" s="170"/>
      <x:c r="E189" s="179"/>
      <x:c r="F189" s="179"/>
      <x:c r="G189" s="179"/>
      <x:c r="H189" s="40" t="str">
        <x:f>IF(A189="","",IF(OR(S189&lt;&gt;"",Listas!$B$13&lt;&gt;"OK"),"n.a.",G189-Listas!$B$6))</x:f>
      </x:c>
      <x:c r="I189" s="40"/>
      <x:c r="J189" s="40" t="str">
        <x:f>IF(A189="","",IF(OR(S189&lt;&gt;"",T189&gt;0,Listas!$B$13&lt;&gt;"OK"),"n.a.",SUMIFS(Movimentacoes!$H$5:$H$304,Movimentacoes!$D$5:$D$304,A189,Movimentacoes!$B$5:$B$304,"&lt;="&amp;Listas!$B$6)))</x:f>
      </x:c>
      <x:c r="K189" s="180"/>
      <x:c r="L189" s="181" t="str">
        <x:f>IF(A189="","",IF(OR(U189&gt;0,Listas!$B$13&lt;&gt;"OK"),"n.a.",J189*K189))</x:f>
      </x:c>
      <x:c r="M189" s="27"/>
      <x:c r="N189" s="40" t="str">
        <x:f>IF(A189="","",IF(OR(U189&gt;0,Listas!$B$13&lt;&gt;"OK"),"REVISAR DADOS",IF(J189=0,"SEM SALDO",IF(G189&lt;Listas!$B$6,"VENCIDO",IF(H189&lt;=Listas!$B$7,"CRÍTICO",IF(H189&lt;=Listas!$B$8,"VENCE NA JANELA","OK"))))))</x:f>
      </x:c>
      <x:c r="O189" s="41" t="str">
        <x:f>IF(A189="","",IF(AND(ISNUMBER(V189),V189&gt;0),G189,""))</x:f>
      </x:c>
      <x:c r="P189" s="40" t="str">
        <x:f>IF(A189="","",IF(OR(U189&gt;0,Listas!$B$13&lt;&gt;"OK"),"REVISAR DADOS",IF(J189=0,"ARQUIVAR LOTE",IF(M189="Quarentena","DECIDIR LIBERAÇÃO",IF(M189="Bloqueado","SEGREGAR E INVESTIGAR",IF(M189="Esgotado","REVISAR STATUS COM SALDO",IF(N189="VENCIDO","SEGREGAR E AVALIAR DESTINAÇÃO",IF(OR(N189="CRÍTICO",N189="VENCE NA JANELA"),"PRIORIZAR FEFO","MANTER ROTAÇÃO"))))))))</x:f>
      </x:c>
      <x:c r="Q189" s="27"/>
      <x:c r="R189" s="181" t="str">
        <x:f>IF(A189="","",IF(OR(U189&gt;0,Listas!$B$13&lt;&gt;"OK"),"n.a.",IF(OR(N189="VENCIDO",N189="CRÍTICO",N189="VENCE NA JANELA",M189="Quarentena",M189="Bloqueado"),L189,0)))</x:f>
      </x:c>
      <x:c r="S189" s="163" t="str">
        <x:f>IF(COUNTA(A189:B189,D189:G189,I189,K189,M189,Q189,AB189:AD189)=0,"",IF(OR(A189="",COUNTIFS($A$5:$A$204,A189)&lt;&gt;1),"Lote ausente ou duplicado",IF(OR(B189="",COUNTIFS(Produtos!$A$5:$A$204,B189)&lt;&gt;1),"SKU ausente ou desconhecido",IF(COUNTIFS(Produtos!$A$5:$A$204,B189,Produtos!$R$5:$R$204,1)&gt;0,"Revisar cadastro do produto",IF(OR(NOT(ISNUMBER(E189)),E189&lt;=0,NOT(ISNUMBER(G189)),G189&lt;=0,G189&lt;E189),"Recebimento ou validade inválida",IF(AND(F189&lt;&gt;"",OR(NOT(ISNUMBER(F189)),F189&lt;=0,F189&gt;E189)),"Fabricação inválida ou posterior ao recebimento",IF(OR(NOT(ISNUMBER(K189)),K189&lt;0,NOT(ISNUMBER(I189)),I189&lt;0),"Quantidade recebida ou custo inválido",IF(AND(M189&lt;&gt;"Liberado",M189&lt;&gt;"Quarentena",M189&lt;&gt;"Bloqueado",M189&lt;&gt;"Esgotado"),"Status de lote inválido",""))))))))</x:f>
      </x:c>
      <x:c r="T189" s="163" t="n">
        <x:f>IF(A189="",0,COUNTIFS(Movimentacoes!$D$5:$D$304,A189,Movimentacoes!$P$5:$P$304,1))</x:f>
        <x:v>0</x:v>
      </x:c>
      <x:c r="U189" s="163" t="n">
        <x:f>IF(COUNTA(A189:B189,D189:G189,I189,K189,M189,Q189,AB189:AD189)=0,0,IF(OR(S189&lt;&gt;"",T189&gt;0),1,IF(ISNUMBER(J189),IF(OR(J189&lt;0,AND(J189&gt;0,M189="Esgotado")),1,0),0)))</x:f>
        <x:v>0</x:v>
      </x:c>
      <x:c r="V189" s="163" t="str">
        <x:f>IF(A189="","",IF(OR(U189&gt;0,Listas!$B$13&lt;&gt;"OK"),"n.a.",IF(AND(J189&gt;0,M189="Liberado",G189&gt;=Listas!$B$6),J189,0)))</x:f>
      </x:c>
      <x:c r="W189" s="163" t="str">
        <x:f>IF(A189="","",IF(OR(U189&gt;0,Listas!$B$13&lt;&gt;"OK"),"n.a.",V189*K189))</x:f>
      </x:c>
      <x:c r="X189" s="167" t="n">
        <x:f>IF(COUNTA(A189:B189,D189:G189,I189,K189,M189,Q189,AB189:AD189)=0,0,IF(OR(Listas!$B$19="Todos",B189=Listas!$B$19,COUNTIFS(Produtos!$A$5:$A$204,B189)&lt;&gt;1),1,0))</x:f>
        <x:v>0</x:v>
      </x:c>
      <x:c r="Y189" s="167" t="str">
        <x:f>IF(X189=0,"",IF(Listas!$B$13&lt;&gt;"OK","Revisar parâmetros",IF(U189&gt;0,IF(S189&lt;&gt;"",S189,IF(T189&gt;0,"Revisar movimentos",IF(AND(ISNUMBER(J189),J189&lt;0),"Saldo negativo","Status esgotado com saldo"))),IF(AG189&lt;&gt;"",AG189&amp;". ","")&amp;IF(J189&lt;=0,"",IF(N189="VENCIDO","Validade vencida. ","")&amp;IF(M189="Quarentena","Em quarentena. ","")&amp;IF(M189="Bloqueado","Lote bloqueado. ","")&amp;IF(N189="CRÍTICO","Validade crítica. ","")&amp;IF(N189="VENCE NA JANELA","Vence na janela. ","")))))</x:f>
      </x:c>
      <x:c r="Z189" s="167" t="n">
        <x:f>IF(OR(X189=0,Y189=""),0,IF(OR(Listas!$B$13&lt;&gt;"OK",U189&gt;0,AH189&gt;0),1,IF(N189="VENCIDO",2,IF(OR(M189="Quarentena",M189="Bloqueado"),3,IF(N189="CRÍTICO",4,5)))))</x:f>
        <x:v>0</x:v>
      </x:c>
      <x:c r="AA189" s="167" t="n">
        <x:f>IF(Z189=0,0,COUNTIFS($Z$5:$Z$204,"&gt;0",$Z$5:$Z$204,"&lt;"&amp;Z189,$X$5:$X$204,1)+COUNTIFS($Z$5:Z189,Z189,$X$5:X189,1))</x:f>
        <x:v>0</x:v>
      </x:c>
      <x:c r="AB189" s="168"/>
      <x:c r="AC189" s="168"/>
      <x:c r="AD189" s="169"/>
      <x:c r="AE189" s="167" t="str">
        <x:f>IF(X189=0,"",IF(OR(U189&gt;0,Listas!$B$13&lt;&gt;"OK"),"Dados pendentes",IF(J189&lt;=0,"Sem saldo",IF(N189="VENCIDO","Vencidos",IF(OR(M189="Quarentena",M189="Bloqueado"),"Restritos vigentes",IF(OR(N189="CRÍTICO",N189="VENCE NA JANELA"),"Liberados na janela","Demais liberados"))))))</x:f>
      </x:c>
      <x:c r="AF189" s="167" t="str">
        <x:f>IF(A189&lt;&gt;"",A189,IF(U189&gt;0,"Sem ID (linha "&amp;ROW()&amp;")",""))</x:f>
      </x:c>
      <x:c r="AG189" s="167" t="str">
        <x:f>IF(AD189="","",IF(OR(NOT(ISNUMBER(AD189)),AD189&lt;=0),"Prazo da ação inválido",""))</x:f>
      </x:c>
      <x:c r="AH189" s="167" t="n">
        <x:f>IF(AG189="",0,1)</x:f>
        <x:v>0</x:v>
      </x:c>
    </x:row>
    <x:row r="190" ht="32" customHeight="1">
      <x:c r="A190" s="27"/>
      <x:c r="B190" s="27"/>
      <x:c r="C190" s="40" t="str">
        <x:f>IF($B190="","",IFERROR(INDEX(Produtos!$B$5:$B$204,MATCH($B190,Produtos!$A$5:$A$204,0)),""))</x:f>
      </x:c>
      <x:c r="D190" s="170"/>
      <x:c r="E190" s="179"/>
      <x:c r="F190" s="179"/>
      <x:c r="G190" s="179"/>
      <x:c r="H190" s="40" t="str">
        <x:f>IF(A190="","",IF(OR(S190&lt;&gt;"",Listas!$B$13&lt;&gt;"OK"),"n.a.",G190-Listas!$B$6))</x:f>
      </x:c>
      <x:c r="I190" s="40"/>
      <x:c r="J190" s="40" t="str">
        <x:f>IF(A190="","",IF(OR(S190&lt;&gt;"",T190&gt;0,Listas!$B$13&lt;&gt;"OK"),"n.a.",SUMIFS(Movimentacoes!$H$5:$H$304,Movimentacoes!$D$5:$D$304,A190,Movimentacoes!$B$5:$B$304,"&lt;="&amp;Listas!$B$6)))</x:f>
      </x:c>
      <x:c r="K190" s="180"/>
      <x:c r="L190" s="181" t="str">
        <x:f>IF(A190="","",IF(OR(U190&gt;0,Listas!$B$13&lt;&gt;"OK"),"n.a.",J190*K190))</x:f>
      </x:c>
      <x:c r="M190" s="27"/>
      <x:c r="N190" s="40" t="str">
        <x:f>IF(A190="","",IF(OR(U190&gt;0,Listas!$B$13&lt;&gt;"OK"),"REVISAR DADOS",IF(J190=0,"SEM SALDO",IF(G190&lt;Listas!$B$6,"VENCIDO",IF(H190&lt;=Listas!$B$7,"CRÍTICO",IF(H190&lt;=Listas!$B$8,"VENCE NA JANELA","OK"))))))</x:f>
      </x:c>
      <x:c r="O190" s="41" t="str">
        <x:f>IF(A190="","",IF(AND(ISNUMBER(V190),V190&gt;0),G190,""))</x:f>
      </x:c>
      <x:c r="P190" s="40" t="str">
        <x:f>IF(A190="","",IF(OR(U190&gt;0,Listas!$B$13&lt;&gt;"OK"),"REVISAR DADOS",IF(J190=0,"ARQUIVAR LOTE",IF(M190="Quarentena","DECIDIR LIBERAÇÃO",IF(M190="Bloqueado","SEGREGAR E INVESTIGAR",IF(M190="Esgotado","REVISAR STATUS COM SALDO",IF(N190="VENCIDO","SEGREGAR E AVALIAR DESTINAÇÃO",IF(OR(N190="CRÍTICO",N190="VENCE NA JANELA"),"PRIORIZAR FEFO","MANTER ROTAÇÃO"))))))))</x:f>
      </x:c>
      <x:c r="Q190" s="27"/>
      <x:c r="R190" s="181" t="str">
        <x:f>IF(A190="","",IF(OR(U190&gt;0,Listas!$B$13&lt;&gt;"OK"),"n.a.",IF(OR(N190="VENCIDO",N190="CRÍTICO",N190="VENCE NA JANELA",M190="Quarentena",M190="Bloqueado"),L190,0)))</x:f>
      </x:c>
      <x:c r="S190" s="163" t="str">
        <x:f>IF(COUNTA(A190:B190,D190:G190,I190,K190,M190,Q190,AB190:AD190)=0,"",IF(OR(A190="",COUNTIFS($A$5:$A$204,A190)&lt;&gt;1),"Lote ausente ou duplicado",IF(OR(B190="",COUNTIFS(Produtos!$A$5:$A$204,B190)&lt;&gt;1),"SKU ausente ou desconhecido",IF(COUNTIFS(Produtos!$A$5:$A$204,B190,Produtos!$R$5:$R$204,1)&gt;0,"Revisar cadastro do produto",IF(OR(NOT(ISNUMBER(E190)),E190&lt;=0,NOT(ISNUMBER(G190)),G190&lt;=0,G190&lt;E190),"Recebimento ou validade inválida",IF(AND(F190&lt;&gt;"",OR(NOT(ISNUMBER(F190)),F190&lt;=0,F190&gt;E190)),"Fabricação inválida ou posterior ao recebimento",IF(OR(NOT(ISNUMBER(K190)),K190&lt;0,NOT(ISNUMBER(I190)),I190&lt;0),"Quantidade recebida ou custo inválido",IF(AND(M190&lt;&gt;"Liberado",M190&lt;&gt;"Quarentena",M190&lt;&gt;"Bloqueado",M190&lt;&gt;"Esgotado"),"Status de lote inválido",""))))))))</x:f>
      </x:c>
      <x:c r="T190" s="163" t="n">
        <x:f>IF(A190="",0,COUNTIFS(Movimentacoes!$D$5:$D$304,A190,Movimentacoes!$P$5:$P$304,1))</x:f>
        <x:v>0</x:v>
      </x:c>
      <x:c r="U190" s="163" t="n">
        <x:f>IF(COUNTA(A190:B190,D190:G190,I190,K190,M190,Q190,AB190:AD190)=0,0,IF(OR(S190&lt;&gt;"",T190&gt;0),1,IF(ISNUMBER(J190),IF(OR(J190&lt;0,AND(J190&gt;0,M190="Esgotado")),1,0),0)))</x:f>
        <x:v>0</x:v>
      </x:c>
      <x:c r="V190" s="163" t="str">
        <x:f>IF(A190="","",IF(OR(U190&gt;0,Listas!$B$13&lt;&gt;"OK"),"n.a.",IF(AND(J190&gt;0,M190="Liberado",G190&gt;=Listas!$B$6),J190,0)))</x:f>
      </x:c>
      <x:c r="W190" s="163" t="str">
        <x:f>IF(A190="","",IF(OR(U190&gt;0,Listas!$B$13&lt;&gt;"OK"),"n.a.",V190*K190))</x:f>
      </x:c>
      <x:c r="X190" s="167" t="n">
        <x:f>IF(COUNTA(A190:B190,D190:G190,I190,K190,M190,Q190,AB190:AD190)=0,0,IF(OR(Listas!$B$19="Todos",B190=Listas!$B$19,COUNTIFS(Produtos!$A$5:$A$204,B190)&lt;&gt;1),1,0))</x:f>
        <x:v>0</x:v>
      </x:c>
      <x:c r="Y190" s="167" t="str">
        <x:f>IF(X190=0,"",IF(Listas!$B$13&lt;&gt;"OK","Revisar parâmetros",IF(U190&gt;0,IF(S190&lt;&gt;"",S190,IF(T190&gt;0,"Revisar movimentos",IF(AND(ISNUMBER(J190),J190&lt;0),"Saldo negativo","Status esgotado com saldo"))),IF(AG190&lt;&gt;"",AG190&amp;". ","")&amp;IF(J190&lt;=0,"",IF(N190="VENCIDO","Validade vencida. ","")&amp;IF(M190="Quarentena","Em quarentena. ","")&amp;IF(M190="Bloqueado","Lote bloqueado. ","")&amp;IF(N190="CRÍTICO","Validade crítica. ","")&amp;IF(N190="VENCE NA JANELA","Vence na janela. ","")))))</x:f>
      </x:c>
      <x:c r="Z190" s="167" t="n">
        <x:f>IF(OR(X190=0,Y190=""),0,IF(OR(Listas!$B$13&lt;&gt;"OK",U190&gt;0,AH190&gt;0),1,IF(N190="VENCIDO",2,IF(OR(M190="Quarentena",M190="Bloqueado"),3,IF(N190="CRÍTICO",4,5)))))</x:f>
        <x:v>0</x:v>
      </x:c>
      <x:c r="AA190" s="167" t="n">
        <x:f>IF(Z190=0,0,COUNTIFS($Z$5:$Z$204,"&gt;0",$Z$5:$Z$204,"&lt;"&amp;Z190,$X$5:$X$204,1)+COUNTIFS($Z$5:Z190,Z190,$X$5:X190,1))</x:f>
        <x:v>0</x:v>
      </x:c>
      <x:c r="AB190" s="168"/>
      <x:c r="AC190" s="168"/>
      <x:c r="AD190" s="169"/>
      <x:c r="AE190" s="167" t="str">
        <x:f>IF(X190=0,"",IF(OR(U190&gt;0,Listas!$B$13&lt;&gt;"OK"),"Dados pendentes",IF(J190&lt;=0,"Sem saldo",IF(N190="VENCIDO","Vencidos",IF(OR(M190="Quarentena",M190="Bloqueado"),"Restritos vigentes",IF(OR(N190="CRÍTICO",N190="VENCE NA JANELA"),"Liberados na janela","Demais liberados"))))))</x:f>
      </x:c>
      <x:c r="AF190" s="167" t="str">
        <x:f>IF(A190&lt;&gt;"",A190,IF(U190&gt;0,"Sem ID (linha "&amp;ROW()&amp;")",""))</x:f>
      </x:c>
      <x:c r="AG190" s="167" t="str">
        <x:f>IF(AD190="","",IF(OR(NOT(ISNUMBER(AD190)),AD190&lt;=0),"Prazo da ação inválido",""))</x:f>
      </x:c>
      <x:c r="AH190" s="167" t="n">
        <x:f>IF(AG190="",0,1)</x:f>
        <x:v>0</x:v>
      </x:c>
    </x:row>
    <x:row r="191" ht="32" customHeight="1">
      <x:c r="A191" s="27"/>
      <x:c r="B191" s="27"/>
      <x:c r="C191" s="40" t="str">
        <x:f>IF($B191="","",IFERROR(INDEX(Produtos!$B$5:$B$204,MATCH($B191,Produtos!$A$5:$A$204,0)),""))</x:f>
      </x:c>
      <x:c r="D191" s="170"/>
      <x:c r="E191" s="179"/>
      <x:c r="F191" s="179"/>
      <x:c r="G191" s="179"/>
      <x:c r="H191" s="40" t="str">
        <x:f>IF(A191="","",IF(OR(S191&lt;&gt;"",Listas!$B$13&lt;&gt;"OK"),"n.a.",G191-Listas!$B$6))</x:f>
      </x:c>
      <x:c r="I191" s="40"/>
      <x:c r="J191" s="40" t="str">
        <x:f>IF(A191="","",IF(OR(S191&lt;&gt;"",T191&gt;0,Listas!$B$13&lt;&gt;"OK"),"n.a.",SUMIFS(Movimentacoes!$H$5:$H$304,Movimentacoes!$D$5:$D$304,A191,Movimentacoes!$B$5:$B$304,"&lt;="&amp;Listas!$B$6)))</x:f>
      </x:c>
      <x:c r="K191" s="180"/>
      <x:c r="L191" s="181" t="str">
        <x:f>IF(A191="","",IF(OR(U191&gt;0,Listas!$B$13&lt;&gt;"OK"),"n.a.",J191*K191))</x:f>
      </x:c>
      <x:c r="M191" s="27"/>
      <x:c r="N191" s="40" t="str">
        <x:f>IF(A191="","",IF(OR(U191&gt;0,Listas!$B$13&lt;&gt;"OK"),"REVISAR DADOS",IF(J191=0,"SEM SALDO",IF(G191&lt;Listas!$B$6,"VENCIDO",IF(H191&lt;=Listas!$B$7,"CRÍTICO",IF(H191&lt;=Listas!$B$8,"VENCE NA JANELA","OK"))))))</x:f>
      </x:c>
      <x:c r="O191" s="41" t="str">
        <x:f>IF(A191="","",IF(AND(ISNUMBER(V191),V191&gt;0),G191,""))</x:f>
      </x:c>
      <x:c r="P191" s="40" t="str">
        <x:f>IF(A191="","",IF(OR(U191&gt;0,Listas!$B$13&lt;&gt;"OK"),"REVISAR DADOS",IF(J191=0,"ARQUIVAR LOTE",IF(M191="Quarentena","DECIDIR LIBERAÇÃO",IF(M191="Bloqueado","SEGREGAR E INVESTIGAR",IF(M191="Esgotado","REVISAR STATUS COM SALDO",IF(N191="VENCIDO","SEGREGAR E AVALIAR DESTINAÇÃO",IF(OR(N191="CRÍTICO",N191="VENCE NA JANELA"),"PRIORIZAR FEFO","MANTER ROTAÇÃO"))))))))</x:f>
      </x:c>
      <x:c r="Q191" s="27"/>
      <x:c r="R191" s="181" t="str">
        <x:f>IF(A191="","",IF(OR(U191&gt;0,Listas!$B$13&lt;&gt;"OK"),"n.a.",IF(OR(N191="VENCIDO",N191="CRÍTICO",N191="VENCE NA JANELA",M191="Quarentena",M191="Bloqueado"),L191,0)))</x:f>
      </x:c>
      <x:c r="S191" s="163" t="str">
        <x:f>IF(COUNTA(A191:B191,D191:G191,I191,K191,M191,Q191,AB191:AD191)=0,"",IF(OR(A191="",COUNTIFS($A$5:$A$204,A191)&lt;&gt;1),"Lote ausente ou duplicado",IF(OR(B191="",COUNTIFS(Produtos!$A$5:$A$204,B191)&lt;&gt;1),"SKU ausente ou desconhecido",IF(COUNTIFS(Produtos!$A$5:$A$204,B191,Produtos!$R$5:$R$204,1)&gt;0,"Revisar cadastro do produto",IF(OR(NOT(ISNUMBER(E191)),E191&lt;=0,NOT(ISNUMBER(G191)),G191&lt;=0,G191&lt;E191),"Recebimento ou validade inválida",IF(AND(F191&lt;&gt;"",OR(NOT(ISNUMBER(F191)),F191&lt;=0,F191&gt;E191)),"Fabricação inválida ou posterior ao recebimento",IF(OR(NOT(ISNUMBER(K191)),K191&lt;0,NOT(ISNUMBER(I191)),I191&lt;0),"Quantidade recebida ou custo inválido",IF(AND(M191&lt;&gt;"Liberado",M191&lt;&gt;"Quarentena",M191&lt;&gt;"Bloqueado",M191&lt;&gt;"Esgotado"),"Status de lote inválido",""))))))))</x:f>
      </x:c>
      <x:c r="T191" s="163" t="n">
        <x:f>IF(A191="",0,COUNTIFS(Movimentacoes!$D$5:$D$304,A191,Movimentacoes!$P$5:$P$304,1))</x:f>
        <x:v>0</x:v>
      </x:c>
      <x:c r="U191" s="163" t="n">
        <x:f>IF(COUNTA(A191:B191,D191:G191,I191,K191,M191,Q191,AB191:AD191)=0,0,IF(OR(S191&lt;&gt;"",T191&gt;0),1,IF(ISNUMBER(J191),IF(OR(J191&lt;0,AND(J191&gt;0,M191="Esgotado")),1,0),0)))</x:f>
        <x:v>0</x:v>
      </x:c>
      <x:c r="V191" s="163" t="str">
        <x:f>IF(A191="","",IF(OR(U191&gt;0,Listas!$B$13&lt;&gt;"OK"),"n.a.",IF(AND(J191&gt;0,M191="Liberado",G191&gt;=Listas!$B$6),J191,0)))</x:f>
      </x:c>
      <x:c r="W191" s="163" t="str">
        <x:f>IF(A191="","",IF(OR(U191&gt;0,Listas!$B$13&lt;&gt;"OK"),"n.a.",V191*K191))</x:f>
      </x:c>
      <x:c r="X191" s="167" t="n">
        <x:f>IF(COUNTA(A191:B191,D191:G191,I191,K191,M191,Q191,AB191:AD191)=0,0,IF(OR(Listas!$B$19="Todos",B191=Listas!$B$19,COUNTIFS(Produtos!$A$5:$A$204,B191)&lt;&gt;1),1,0))</x:f>
        <x:v>0</x:v>
      </x:c>
      <x:c r="Y191" s="167" t="str">
        <x:f>IF(X191=0,"",IF(Listas!$B$13&lt;&gt;"OK","Revisar parâmetros",IF(U191&gt;0,IF(S191&lt;&gt;"",S191,IF(T191&gt;0,"Revisar movimentos",IF(AND(ISNUMBER(J191),J191&lt;0),"Saldo negativo","Status esgotado com saldo"))),IF(AG191&lt;&gt;"",AG191&amp;". ","")&amp;IF(J191&lt;=0,"",IF(N191="VENCIDO","Validade vencida. ","")&amp;IF(M191="Quarentena","Em quarentena. ","")&amp;IF(M191="Bloqueado","Lote bloqueado. ","")&amp;IF(N191="CRÍTICO","Validade crítica. ","")&amp;IF(N191="VENCE NA JANELA","Vence na janela. ","")))))</x:f>
      </x:c>
      <x:c r="Z191" s="167" t="n">
        <x:f>IF(OR(X191=0,Y191=""),0,IF(OR(Listas!$B$13&lt;&gt;"OK",U191&gt;0,AH191&gt;0),1,IF(N191="VENCIDO",2,IF(OR(M191="Quarentena",M191="Bloqueado"),3,IF(N191="CRÍTICO",4,5)))))</x:f>
        <x:v>0</x:v>
      </x:c>
      <x:c r="AA191" s="167" t="n">
        <x:f>IF(Z191=0,0,COUNTIFS($Z$5:$Z$204,"&gt;0",$Z$5:$Z$204,"&lt;"&amp;Z191,$X$5:$X$204,1)+COUNTIFS($Z$5:Z191,Z191,$X$5:X191,1))</x:f>
        <x:v>0</x:v>
      </x:c>
      <x:c r="AB191" s="168"/>
      <x:c r="AC191" s="168"/>
      <x:c r="AD191" s="169"/>
      <x:c r="AE191" s="167" t="str">
        <x:f>IF(X191=0,"",IF(OR(U191&gt;0,Listas!$B$13&lt;&gt;"OK"),"Dados pendentes",IF(J191&lt;=0,"Sem saldo",IF(N191="VENCIDO","Vencidos",IF(OR(M191="Quarentena",M191="Bloqueado"),"Restritos vigentes",IF(OR(N191="CRÍTICO",N191="VENCE NA JANELA"),"Liberados na janela","Demais liberados"))))))</x:f>
      </x:c>
      <x:c r="AF191" s="167" t="str">
        <x:f>IF(A191&lt;&gt;"",A191,IF(U191&gt;0,"Sem ID (linha "&amp;ROW()&amp;")",""))</x:f>
      </x:c>
      <x:c r="AG191" s="167" t="str">
        <x:f>IF(AD191="","",IF(OR(NOT(ISNUMBER(AD191)),AD191&lt;=0),"Prazo da ação inválido",""))</x:f>
      </x:c>
      <x:c r="AH191" s="167" t="n">
        <x:f>IF(AG191="",0,1)</x:f>
        <x:v>0</x:v>
      </x:c>
    </x:row>
    <x:row r="192" ht="32" customHeight="1">
      <x:c r="A192" s="27"/>
      <x:c r="B192" s="27"/>
      <x:c r="C192" s="40" t="str">
        <x:f>IF($B192="","",IFERROR(INDEX(Produtos!$B$5:$B$204,MATCH($B192,Produtos!$A$5:$A$204,0)),""))</x:f>
      </x:c>
      <x:c r="D192" s="170"/>
      <x:c r="E192" s="179"/>
      <x:c r="F192" s="179"/>
      <x:c r="G192" s="179"/>
      <x:c r="H192" s="40" t="str">
        <x:f>IF(A192="","",IF(OR(S192&lt;&gt;"",Listas!$B$13&lt;&gt;"OK"),"n.a.",G192-Listas!$B$6))</x:f>
      </x:c>
      <x:c r="I192" s="40"/>
      <x:c r="J192" s="40" t="str">
        <x:f>IF(A192="","",IF(OR(S192&lt;&gt;"",T192&gt;0,Listas!$B$13&lt;&gt;"OK"),"n.a.",SUMIFS(Movimentacoes!$H$5:$H$304,Movimentacoes!$D$5:$D$304,A192,Movimentacoes!$B$5:$B$304,"&lt;="&amp;Listas!$B$6)))</x:f>
      </x:c>
      <x:c r="K192" s="180"/>
      <x:c r="L192" s="181" t="str">
        <x:f>IF(A192="","",IF(OR(U192&gt;0,Listas!$B$13&lt;&gt;"OK"),"n.a.",J192*K192))</x:f>
      </x:c>
      <x:c r="M192" s="27"/>
      <x:c r="N192" s="40" t="str">
        <x:f>IF(A192="","",IF(OR(U192&gt;0,Listas!$B$13&lt;&gt;"OK"),"REVISAR DADOS",IF(J192=0,"SEM SALDO",IF(G192&lt;Listas!$B$6,"VENCIDO",IF(H192&lt;=Listas!$B$7,"CRÍTICO",IF(H192&lt;=Listas!$B$8,"VENCE NA JANELA","OK"))))))</x:f>
      </x:c>
      <x:c r="O192" s="41" t="str">
        <x:f>IF(A192="","",IF(AND(ISNUMBER(V192),V192&gt;0),G192,""))</x:f>
      </x:c>
      <x:c r="P192" s="40" t="str">
        <x:f>IF(A192="","",IF(OR(U192&gt;0,Listas!$B$13&lt;&gt;"OK"),"REVISAR DADOS",IF(J192=0,"ARQUIVAR LOTE",IF(M192="Quarentena","DECIDIR LIBERAÇÃO",IF(M192="Bloqueado","SEGREGAR E INVESTIGAR",IF(M192="Esgotado","REVISAR STATUS COM SALDO",IF(N192="VENCIDO","SEGREGAR E AVALIAR DESTINAÇÃO",IF(OR(N192="CRÍTICO",N192="VENCE NA JANELA"),"PRIORIZAR FEFO","MANTER ROTAÇÃO"))))))))</x:f>
      </x:c>
      <x:c r="Q192" s="27"/>
      <x:c r="R192" s="181" t="str">
        <x:f>IF(A192="","",IF(OR(U192&gt;0,Listas!$B$13&lt;&gt;"OK"),"n.a.",IF(OR(N192="VENCIDO",N192="CRÍTICO",N192="VENCE NA JANELA",M192="Quarentena",M192="Bloqueado"),L192,0)))</x:f>
      </x:c>
      <x:c r="S192" s="163" t="str">
        <x:f>IF(COUNTA(A192:B192,D192:G192,I192,K192,M192,Q192,AB192:AD192)=0,"",IF(OR(A192="",COUNTIFS($A$5:$A$204,A192)&lt;&gt;1),"Lote ausente ou duplicado",IF(OR(B192="",COUNTIFS(Produtos!$A$5:$A$204,B192)&lt;&gt;1),"SKU ausente ou desconhecido",IF(COUNTIFS(Produtos!$A$5:$A$204,B192,Produtos!$R$5:$R$204,1)&gt;0,"Revisar cadastro do produto",IF(OR(NOT(ISNUMBER(E192)),E192&lt;=0,NOT(ISNUMBER(G192)),G192&lt;=0,G192&lt;E192),"Recebimento ou validade inválida",IF(AND(F192&lt;&gt;"",OR(NOT(ISNUMBER(F192)),F192&lt;=0,F192&gt;E192)),"Fabricação inválida ou posterior ao recebimento",IF(OR(NOT(ISNUMBER(K192)),K192&lt;0,NOT(ISNUMBER(I192)),I192&lt;0),"Quantidade recebida ou custo inválido",IF(AND(M192&lt;&gt;"Liberado",M192&lt;&gt;"Quarentena",M192&lt;&gt;"Bloqueado",M192&lt;&gt;"Esgotado"),"Status de lote inválido",""))))))))</x:f>
      </x:c>
      <x:c r="T192" s="163" t="n">
        <x:f>IF(A192="",0,COUNTIFS(Movimentacoes!$D$5:$D$304,A192,Movimentacoes!$P$5:$P$304,1))</x:f>
        <x:v>0</x:v>
      </x:c>
      <x:c r="U192" s="163" t="n">
        <x:f>IF(COUNTA(A192:B192,D192:G192,I192,K192,M192,Q192,AB192:AD192)=0,0,IF(OR(S192&lt;&gt;"",T192&gt;0),1,IF(ISNUMBER(J192),IF(OR(J192&lt;0,AND(J192&gt;0,M192="Esgotado")),1,0),0)))</x:f>
        <x:v>0</x:v>
      </x:c>
      <x:c r="V192" s="163" t="str">
        <x:f>IF(A192="","",IF(OR(U192&gt;0,Listas!$B$13&lt;&gt;"OK"),"n.a.",IF(AND(J192&gt;0,M192="Liberado",G192&gt;=Listas!$B$6),J192,0)))</x:f>
      </x:c>
      <x:c r="W192" s="163" t="str">
        <x:f>IF(A192="","",IF(OR(U192&gt;0,Listas!$B$13&lt;&gt;"OK"),"n.a.",V192*K192))</x:f>
      </x:c>
      <x:c r="X192" s="167" t="n">
        <x:f>IF(COUNTA(A192:B192,D192:G192,I192,K192,M192,Q192,AB192:AD192)=0,0,IF(OR(Listas!$B$19="Todos",B192=Listas!$B$19,COUNTIFS(Produtos!$A$5:$A$204,B192)&lt;&gt;1),1,0))</x:f>
        <x:v>0</x:v>
      </x:c>
      <x:c r="Y192" s="167" t="str">
        <x:f>IF(X192=0,"",IF(Listas!$B$13&lt;&gt;"OK","Revisar parâmetros",IF(U192&gt;0,IF(S192&lt;&gt;"",S192,IF(T192&gt;0,"Revisar movimentos",IF(AND(ISNUMBER(J192),J192&lt;0),"Saldo negativo","Status esgotado com saldo"))),IF(AG192&lt;&gt;"",AG192&amp;". ","")&amp;IF(J192&lt;=0,"",IF(N192="VENCIDO","Validade vencida. ","")&amp;IF(M192="Quarentena","Em quarentena. ","")&amp;IF(M192="Bloqueado","Lote bloqueado. ","")&amp;IF(N192="CRÍTICO","Validade crítica. ","")&amp;IF(N192="VENCE NA JANELA","Vence na janela. ","")))))</x:f>
      </x:c>
      <x:c r="Z192" s="167" t="n">
        <x:f>IF(OR(X192=0,Y192=""),0,IF(OR(Listas!$B$13&lt;&gt;"OK",U192&gt;0,AH192&gt;0),1,IF(N192="VENCIDO",2,IF(OR(M192="Quarentena",M192="Bloqueado"),3,IF(N192="CRÍTICO",4,5)))))</x:f>
        <x:v>0</x:v>
      </x:c>
      <x:c r="AA192" s="167" t="n">
        <x:f>IF(Z192=0,0,COUNTIFS($Z$5:$Z$204,"&gt;0",$Z$5:$Z$204,"&lt;"&amp;Z192,$X$5:$X$204,1)+COUNTIFS($Z$5:Z192,Z192,$X$5:X192,1))</x:f>
        <x:v>0</x:v>
      </x:c>
      <x:c r="AB192" s="168"/>
      <x:c r="AC192" s="168"/>
      <x:c r="AD192" s="169"/>
      <x:c r="AE192" s="167" t="str">
        <x:f>IF(X192=0,"",IF(OR(U192&gt;0,Listas!$B$13&lt;&gt;"OK"),"Dados pendentes",IF(J192&lt;=0,"Sem saldo",IF(N192="VENCIDO","Vencidos",IF(OR(M192="Quarentena",M192="Bloqueado"),"Restritos vigentes",IF(OR(N192="CRÍTICO",N192="VENCE NA JANELA"),"Liberados na janela","Demais liberados"))))))</x:f>
      </x:c>
      <x:c r="AF192" s="167" t="str">
        <x:f>IF(A192&lt;&gt;"",A192,IF(U192&gt;0,"Sem ID (linha "&amp;ROW()&amp;")",""))</x:f>
      </x:c>
      <x:c r="AG192" s="167" t="str">
        <x:f>IF(AD192="","",IF(OR(NOT(ISNUMBER(AD192)),AD192&lt;=0),"Prazo da ação inválido",""))</x:f>
      </x:c>
      <x:c r="AH192" s="167" t="n">
        <x:f>IF(AG192="",0,1)</x:f>
        <x:v>0</x:v>
      </x:c>
    </x:row>
    <x:row r="193" ht="32" customHeight="1">
      <x:c r="A193" s="27"/>
      <x:c r="B193" s="27"/>
      <x:c r="C193" s="40" t="str">
        <x:f>IF($B193="","",IFERROR(INDEX(Produtos!$B$5:$B$204,MATCH($B193,Produtos!$A$5:$A$204,0)),""))</x:f>
      </x:c>
      <x:c r="D193" s="170"/>
      <x:c r="E193" s="179"/>
      <x:c r="F193" s="179"/>
      <x:c r="G193" s="179"/>
      <x:c r="H193" s="40" t="str">
        <x:f>IF(A193="","",IF(OR(S193&lt;&gt;"",Listas!$B$13&lt;&gt;"OK"),"n.a.",G193-Listas!$B$6))</x:f>
      </x:c>
      <x:c r="I193" s="40"/>
      <x:c r="J193" s="40" t="str">
        <x:f>IF(A193="","",IF(OR(S193&lt;&gt;"",T193&gt;0,Listas!$B$13&lt;&gt;"OK"),"n.a.",SUMIFS(Movimentacoes!$H$5:$H$304,Movimentacoes!$D$5:$D$304,A193,Movimentacoes!$B$5:$B$304,"&lt;="&amp;Listas!$B$6)))</x:f>
      </x:c>
      <x:c r="K193" s="180"/>
      <x:c r="L193" s="181" t="str">
        <x:f>IF(A193="","",IF(OR(U193&gt;0,Listas!$B$13&lt;&gt;"OK"),"n.a.",J193*K193))</x:f>
      </x:c>
      <x:c r="M193" s="27"/>
      <x:c r="N193" s="40" t="str">
        <x:f>IF(A193="","",IF(OR(U193&gt;0,Listas!$B$13&lt;&gt;"OK"),"REVISAR DADOS",IF(J193=0,"SEM SALDO",IF(G193&lt;Listas!$B$6,"VENCIDO",IF(H193&lt;=Listas!$B$7,"CRÍTICO",IF(H193&lt;=Listas!$B$8,"VENCE NA JANELA","OK"))))))</x:f>
      </x:c>
      <x:c r="O193" s="41" t="str">
        <x:f>IF(A193="","",IF(AND(ISNUMBER(V193),V193&gt;0),G193,""))</x:f>
      </x:c>
      <x:c r="P193" s="40" t="str">
        <x:f>IF(A193="","",IF(OR(U193&gt;0,Listas!$B$13&lt;&gt;"OK"),"REVISAR DADOS",IF(J193=0,"ARQUIVAR LOTE",IF(M193="Quarentena","DECIDIR LIBERAÇÃO",IF(M193="Bloqueado","SEGREGAR E INVESTIGAR",IF(M193="Esgotado","REVISAR STATUS COM SALDO",IF(N193="VENCIDO","SEGREGAR E AVALIAR DESTINAÇÃO",IF(OR(N193="CRÍTICO",N193="VENCE NA JANELA"),"PRIORIZAR FEFO","MANTER ROTAÇÃO"))))))))</x:f>
      </x:c>
      <x:c r="Q193" s="27"/>
      <x:c r="R193" s="181" t="str">
        <x:f>IF(A193="","",IF(OR(U193&gt;0,Listas!$B$13&lt;&gt;"OK"),"n.a.",IF(OR(N193="VENCIDO",N193="CRÍTICO",N193="VENCE NA JANELA",M193="Quarentena",M193="Bloqueado"),L193,0)))</x:f>
      </x:c>
      <x:c r="S193" s="163" t="str">
        <x:f>IF(COUNTA(A193:B193,D193:G193,I193,K193,M193,Q193,AB193:AD193)=0,"",IF(OR(A193="",COUNTIFS($A$5:$A$204,A193)&lt;&gt;1),"Lote ausente ou duplicado",IF(OR(B193="",COUNTIFS(Produtos!$A$5:$A$204,B193)&lt;&gt;1),"SKU ausente ou desconhecido",IF(COUNTIFS(Produtos!$A$5:$A$204,B193,Produtos!$R$5:$R$204,1)&gt;0,"Revisar cadastro do produto",IF(OR(NOT(ISNUMBER(E193)),E193&lt;=0,NOT(ISNUMBER(G193)),G193&lt;=0,G193&lt;E193),"Recebimento ou validade inválida",IF(AND(F193&lt;&gt;"",OR(NOT(ISNUMBER(F193)),F193&lt;=0,F193&gt;E193)),"Fabricação inválida ou posterior ao recebimento",IF(OR(NOT(ISNUMBER(K193)),K193&lt;0,NOT(ISNUMBER(I193)),I193&lt;0),"Quantidade recebida ou custo inválido",IF(AND(M193&lt;&gt;"Liberado",M193&lt;&gt;"Quarentena",M193&lt;&gt;"Bloqueado",M193&lt;&gt;"Esgotado"),"Status de lote inválido",""))))))))</x:f>
      </x:c>
      <x:c r="T193" s="163" t="n">
        <x:f>IF(A193="",0,COUNTIFS(Movimentacoes!$D$5:$D$304,A193,Movimentacoes!$P$5:$P$304,1))</x:f>
        <x:v>0</x:v>
      </x:c>
      <x:c r="U193" s="163" t="n">
        <x:f>IF(COUNTA(A193:B193,D193:G193,I193,K193,M193,Q193,AB193:AD193)=0,0,IF(OR(S193&lt;&gt;"",T193&gt;0),1,IF(ISNUMBER(J193),IF(OR(J193&lt;0,AND(J193&gt;0,M193="Esgotado")),1,0),0)))</x:f>
        <x:v>0</x:v>
      </x:c>
      <x:c r="V193" s="163" t="str">
        <x:f>IF(A193="","",IF(OR(U193&gt;0,Listas!$B$13&lt;&gt;"OK"),"n.a.",IF(AND(J193&gt;0,M193="Liberado",G193&gt;=Listas!$B$6),J193,0)))</x:f>
      </x:c>
      <x:c r="W193" s="163" t="str">
        <x:f>IF(A193="","",IF(OR(U193&gt;0,Listas!$B$13&lt;&gt;"OK"),"n.a.",V193*K193))</x:f>
      </x:c>
      <x:c r="X193" s="167" t="n">
        <x:f>IF(COUNTA(A193:B193,D193:G193,I193,K193,M193,Q193,AB193:AD193)=0,0,IF(OR(Listas!$B$19="Todos",B193=Listas!$B$19,COUNTIFS(Produtos!$A$5:$A$204,B193)&lt;&gt;1),1,0))</x:f>
        <x:v>0</x:v>
      </x:c>
      <x:c r="Y193" s="167" t="str">
        <x:f>IF(X193=0,"",IF(Listas!$B$13&lt;&gt;"OK","Revisar parâmetros",IF(U193&gt;0,IF(S193&lt;&gt;"",S193,IF(T193&gt;0,"Revisar movimentos",IF(AND(ISNUMBER(J193),J193&lt;0),"Saldo negativo","Status esgotado com saldo"))),IF(AG193&lt;&gt;"",AG193&amp;". ","")&amp;IF(J193&lt;=0,"",IF(N193="VENCIDO","Validade vencida. ","")&amp;IF(M193="Quarentena","Em quarentena. ","")&amp;IF(M193="Bloqueado","Lote bloqueado. ","")&amp;IF(N193="CRÍTICO","Validade crítica. ","")&amp;IF(N193="VENCE NA JANELA","Vence na janela. ","")))))</x:f>
      </x:c>
      <x:c r="Z193" s="167" t="n">
        <x:f>IF(OR(X193=0,Y193=""),0,IF(OR(Listas!$B$13&lt;&gt;"OK",U193&gt;0,AH193&gt;0),1,IF(N193="VENCIDO",2,IF(OR(M193="Quarentena",M193="Bloqueado"),3,IF(N193="CRÍTICO",4,5)))))</x:f>
        <x:v>0</x:v>
      </x:c>
      <x:c r="AA193" s="167" t="n">
        <x:f>IF(Z193=0,0,COUNTIFS($Z$5:$Z$204,"&gt;0",$Z$5:$Z$204,"&lt;"&amp;Z193,$X$5:$X$204,1)+COUNTIFS($Z$5:Z193,Z193,$X$5:X193,1))</x:f>
        <x:v>0</x:v>
      </x:c>
      <x:c r="AB193" s="168"/>
      <x:c r="AC193" s="168"/>
      <x:c r="AD193" s="169"/>
      <x:c r="AE193" s="167" t="str">
        <x:f>IF(X193=0,"",IF(OR(U193&gt;0,Listas!$B$13&lt;&gt;"OK"),"Dados pendentes",IF(J193&lt;=0,"Sem saldo",IF(N193="VENCIDO","Vencidos",IF(OR(M193="Quarentena",M193="Bloqueado"),"Restritos vigentes",IF(OR(N193="CRÍTICO",N193="VENCE NA JANELA"),"Liberados na janela","Demais liberados"))))))</x:f>
      </x:c>
      <x:c r="AF193" s="167" t="str">
        <x:f>IF(A193&lt;&gt;"",A193,IF(U193&gt;0,"Sem ID (linha "&amp;ROW()&amp;")",""))</x:f>
      </x:c>
      <x:c r="AG193" s="167" t="str">
        <x:f>IF(AD193="","",IF(OR(NOT(ISNUMBER(AD193)),AD193&lt;=0),"Prazo da ação inválido",""))</x:f>
      </x:c>
      <x:c r="AH193" s="167" t="n">
        <x:f>IF(AG193="",0,1)</x:f>
        <x:v>0</x:v>
      </x:c>
    </x:row>
    <x:row r="194" ht="32" customHeight="1">
      <x:c r="A194" s="27"/>
      <x:c r="B194" s="27"/>
      <x:c r="C194" s="40" t="str">
        <x:f>IF($B194="","",IFERROR(INDEX(Produtos!$B$5:$B$204,MATCH($B194,Produtos!$A$5:$A$204,0)),""))</x:f>
      </x:c>
      <x:c r="D194" s="170"/>
      <x:c r="E194" s="179"/>
      <x:c r="F194" s="179"/>
      <x:c r="G194" s="179"/>
      <x:c r="H194" s="40" t="str">
        <x:f>IF(A194="","",IF(OR(S194&lt;&gt;"",Listas!$B$13&lt;&gt;"OK"),"n.a.",G194-Listas!$B$6))</x:f>
      </x:c>
      <x:c r="I194" s="40"/>
      <x:c r="J194" s="40" t="str">
        <x:f>IF(A194="","",IF(OR(S194&lt;&gt;"",T194&gt;0,Listas!$B$13&lt;&gt;"OK"),"n.a.",SUMIFS(Movimentacoes!$H$5:$H$304,Movimentacoes!$D$5:$D$304,A194,Movimentacoes!$B$5:$B$304,"&lt;="&amp;Listas!$B$6)))</x:f>
      </x:c>
      <x:c r="K194" s="180"/>
      <x:c r="L194" s="181" t="str">
        <x:f>IF(A194="","",IF(OR(U194&gt;0,Listas!$B$13&lt;&gt;"OK"),"n.a.",J194*K194))</x:f>
      </x:c>
      <x:c r="M194" s="27"/>
      <x:c r="N194" s="40" t="str">
        <x:f>IF(A194="","",IF(OR(U194&gt;0,Listas!$B$13&lt;&gt;"OK"),"REVISAR DADOS",IF(J194=0,"SEM SALDO",IF(G194&lt;Listas!$B$6,"VENCIDO",IF(H194&lt;=Listas!$B$7,"CRÍTICO",IF(H194&lt;=Listas!$B$8,"VENCE NA JANELA","OK"))))))</x:f>
      </x:c>
      <x:c r="O194" s="41" t="str">
        <x:f>IF(A194="","",IF(AND(ISNUMBER(V194),V194&gt;0),G194,""))</x:f>
      </x:c>
      <x:c r="P194" s="40" t="str">
        <x:f>IF(A194="","",IF(OR(U194&gt;0,Listas!$B$13&lt;&gt;"OK"),"REVISAR DADOS",IF(J194=0,"ARQUIVAR LOTE",IF(M194="Quarentena","DECIDIR LIBERAÇÃO",IF(M194="Bloqueado","SEGREGAR E INVESTIGAR",IF(M194="Esgotado","REVISAR STATUS COM SALDO",IF(N194="VENCIDO","SEGREGAR E AVALIAR DESTINAÇÃO",IF(OR(N194="CRÍTICO",N194="VENCE NA JANELA"),"PRIORIZAR FEFO","MANTER ROTAÇÃO"))))))))</x:f>
      </x:c>
      <x:c r="Q194" s="27"/>
      <x:c r="R194" s="181" t="str">
        <x:f>IF(A194="","",IF(OR(U194&gt;0,Listas!$B$13&lt;&gt;"OK"),"n.a.",IF(OR(N194="VENCIDO",N194="CRÍTICO",N194="VENCE NA JANELA",M194="Quarentena",M194="Bloqueado"),L194,0)))</x:f>
      </x:c>
      <x:c r="S194" s="163" t="str">
        <x:f>IF(COUNTA(A194:B194,D194:G194,I194,K194,M194,Q194,AB194:AD194)=0,"",IF(OR(A194="",COUNTIFS($A$5:$A$204,A194)&lt;&gt;1),"Lote ausente ou duplicado",IF(OR(B194="",COUNTIFS(Produtos!$A$5:$A$204,B194)&lt;&gt;1),"SKU ausente ou desconhecido",IF(COUNTIFS(Produtos!$A$5:$A$204,B194,Produtos!$R$5:$R$204,1)&gt;0,"Revisar cadastro do produto",IF(OR(NOT(ISNUMBER(E194)),E194&lt;=0,NOT(ISNUMBER(G194)),G194&lt;=0,G194&lt;E194),"Recebimento ou validade inválida",IF(AND(F194&lt;&gt;"",OR(NOT(ISNUMBER(F194)),F194&lt;=0,F194&gt;E194)),"Fabricação inválida ou posterior ao recebimento",IF(OR(NOT(ISNUMBER(K194)),K194&lt;0,NOT(ISNUMBER(I194)),I194&lt;0),"Quantidade recebida ou custo inválido",IF(AND(M194&lt;&gt;"Liberado",M194&lt;&gt;"Quarentena",M194&lt;&gt;"Bloqueado",M194&lt;&gt;"Esgotado"),"Status de lote inválido",""))))))))</x:f>
      </x:c>
      <x:c r="T194" s="163" t="n">
        <x:f>IF(A194="",0,COUNTIFS(Movimentacoes!$D$5:$D$304,A194,Movimentacoes!$P$5:$P$304,1))</x:f>
        <x:v>0</x:v>
      </x:c>
      <x:c r="U194" s="163" t="n">
        <x:f>IF(COUNTA(A194:B194,D194:G194,I194,K194,M194,Q194,AB194:AD194)=0,0,IF(OR(S194&lt;&gt;"",T194&gt;0),1,IF(ISNUMBER(J194),IF(OR(J194&lt;0,AND(J194&gt;0,M194="Esgotado")),1,0),0)))</x:f>
        <x:v>0</x:v>
      </x:c>
      <x:c r="V194" s="163" t="str">
        <x:f>IF(A194="","",IF(OR(U194&gt;0,Listas!$B$13&lt;&gt;"OK"),"n.a.",IF(AND(J194&gt;0,M194="Liberado",G194&gt;=Listas!$B$6),J194,0)))</x:f>
      </x:c>
      <x:c r="W194" s="163" t="str">
        <x:f>IF(A194="","",IF(OR(U194&gt;0,Listas!$B$13&lt;&gt;"OK"),"n.a.",V194*K194))</x:f>
      </x:c>
      <x:c r="X194" s="167" t="n">
        <x:f>IF(COUNTA(A194:B194,D194:G194,I194,K194,M194,Q194,AB194:AD194)=0,0,IF(OR(Listas!$B$19="Todos",B194=Listas!$B$19,COUNTIFS(Produtos!$A$5:$A$204,B194)&lt;&gt;1),1,0))</x:f>
        <x:v>0</x:v>
      </x:c>
      <x:c r="Y194" s="167" t="str">
        <x:f>IF(X194=0,"",IF(Listas!$B$13&lt;&gt;"OK","Revisar parâmetros",IF(U194&gt;0,IF(S194&lt;&gt;"",S194,IF(T194&gt;0,"Revisar movimentos",IF(AND(ISNUMBER(J194),J194&lt;0),"Saldo negativo","Status esgotado com saldo"))),IF(AG194&lt;&gt;"",AG194&amp;". ","")&amp;IF(J194&lt;=0,"",IF(N194="VENCIDO","Validade vencida. ","")&amp;IF(M194="Quarentena","Em quarentena. ","")&amp;IF(M194="Bloqueado","Lote bloqueado. ","")&amp;IF(N194="CRÍTICO","Validade crítica. ","")&amp;IF(N194="VENCE NA JANELA","Vence na janela. ","")))))</x:f>
      </x:c>
      <x:c r="Z194" s="167" t="n">
        <x:f>IF(OR(X194=0,Y194=""),0,IF(OR(Listas!$B$13&lt;&gt;"OK",U194&gt;0,AH194&gt;0),1,IF(N194="VENCIDO",2,IF(OR(M194="Quarentena",M194="Bloqueado"),3,IF(N194="CRÍTICO",4,5)))))</x:f>
        <x:v>0</x:v>
      </x:c>
      <x:c r="AA194" s="167" t="n">
        <x:f>IF(Z194=0,0,COUNTIFS($Z$5:$Z$204,"&gt;0",$Z$5:$Z$204,"&lt;"&amp;Z194,$X$5:$X$204,1)+COUNTIFS($Z$5:Z194,Z194,$X$5:X194,1))</x:f>
        <x:v>0</x:v>
      </x:c>
      <x:c r="AB194" s="168"/>
      <x:c r="AC194" s="168"/>
      <x:c r="AD194" s="169"/>
      <x:c r="AE194" s="167" t="str">
        <x:f>IF(X194=0,"",IF(OR(U194&gt;0,Listas!$B$13&lt;&gt;"OK"),"Dados pendentes",IF(J194&lt;=0,"Sem saldo",IF(N194="VENCIDO","Vencidos",IF(OR(M194="Quarentena",M194="Bloqueado"),"Restritos vigentes",IF(OR(N194="CRÍTICO",N194="VENCE NA JANELA"),"Liberados na janela","Demais liberados"))))))</x:f>
      </x:c>
      <x:c r="AF194" s="167" t="str">
        <x:f>IF(A194&lt;&gt;"",A194,IF(U194&gt;0,"Sem ID (linha "&amp;ROW()&amp;")",""))</x:f>
      </x:c>
      <x:c r="AG194" s="167" t="str">
        <x:f>IF(AD194="","",IF(OR(NOT(ISNUMBER(AD194)),AD194&lt;=0),"Prazo da ação inválido",""))</x:f>
      </x:c>
      <x:c r="AH194" s="167" t="n">
        <x:f>IF(AG194="",0,1)</x:f>
        <x:v>0</x:v>
      </x:c>
    </x:row>
    <x:row r="195" ht="32" customHeight="1">
      <x:c r="A195" s="27"/>
      <x:c r="B195" s="27"/>
      <x:c r="C195" s="40" t="str">
        <x:f>IF($B195="","",IFERROR(INDEX(Produtos!$B$5:$B$204,MATCH($B195,Produtos!$A$5:$A$204,0)),""))</x:f>
      </x:c>
      <x:c r="D195" s="170"/>
      <x:c r="E195" s="179"/>
      <x:c r="F195" s="179"/>
      <x:c r="G195" s="179"/>
      <x:c r="H195" s="40" t="str">
        <x:f>IF(A195="","",IF(OR(S195&lt;&gt;"",Listas!$B$13&lt;&gt;"OK"),"n.a.",G195-Listas!$B$6))</x:f>
      </x:c>
      <x:c r="I195" s="40"/>
      <x:c r="J195" s="40" t="str">
        <x:f>IF(A195="","",IF(OR(S195&lt;&gt;"",T195&gt;0,Listas!$B$13&lt;&gt;"OK"),"n.a.",SUMIFS(Movimentacoes!$H$5:$H$304,Movimentacoes!$D$5:$D$304,A195,Movimentacoes!$B$5:$B$304,"&lt;="&amp;Listas!$B$6)))</x:f>
      </x:c>
      <x:c r="K195" s="180"/>
      <x:c r="L195" s="181" t="str">
        <x:f>IF(A195="","",IF(OR(U195&gt;0,Listas!$B$13&lt;&gt;"OK"),"n.a.",J195*K195))</x:f>
      </x:c>
      <x:c r="M195" s="27"/>
      <x:c r="N195" s="40" t="str">
        <x:f>IF(A195="","",IF(OR(U195&gt;0,Listas!$B$13&lt;&gt;"OK"),"REVISAR DADOS",IF(J195=0,"SEM SALDO",IF(G195&lt;Listas!$B$6,"VENCIDO",IF(H195&lt;=Listas!$B$7,"CRÍTICO",IF(H195&lt;=Listas!$B$8,"VENCE NA JANELA","OK"))))))</x:f>
      </x:c>
      <x:c r="O195" s="41" t="str">
        <x:f>IF(A195="","",IF(AND(ISNUMBER(V195),V195&gt;0),G195,""))</x:f>
      </x:c>
      <x:c r="P195" s="40" t="str">
        <x:f>IF(A195="","",IF(OR(U195&gt;0,Listas!$B$13&lt;&gt;"OK"),"REVISAR DADOS",IF(J195=0,"ARQUIVAR LOTE",IF(M195="Quarentena","DECIDIR LIBERAÇÃO",IF(M195="Bloqueado","SEGREGAR E INVESTIGAR",IF(M195="Esgotado","REVISAR STATUS COM SALDO",IF(N195="VENCIDO","SEGREGAR E AVALIAR DESTINAÇÃO",IF(OR(N195="CRÍTICO",N195="VENCE NA JANELA"),"PRIORIZAR FEFO","MANTER ROTAÇÃO"))))))))</x:f>
      </x:c>
      <x:c r="Q195" s="27"/>
      <x:c r="R195" s="181" t="str">
        <x:f>IF(A195="","",IF(OR(U195&gt;0,Listas!$B$13&lt;&gt;"OK"),"n.a.",IF(OR(N195="VENCIDO",N195="CRÍTICO",N195="VENCE NA JANELA",M195="Quarentena",M195="Bloqueado"),L195,0)))</x:f>
      </x:c>
      <x:c r="S195" s="163" t="str">
        <x:f>IF(COUNTA(A195:B195,D195:G195,I195,K195,M195,Q195,AB195:AD195)=0,"",IF(OR(A195="",COUNTIFS($A$5:$A$204,A195)&lt;&gt;1),"Lote ausente ou duplicado",IF(OR(B195="",COUNTIFS(Produtos!$A$5:$A$204,B195)&lt;&gt;1),"SKU ausente ou desconhecido",IF(COUNTIFS(Produtos!$A$5:$A$204,B195,Produtos!$R$5:$R$204,1)&gt;0,"Revisar cadastro do produto",IF(OR(NOT(ISNUMBER(E195)),E195&lt;=0,NOT(ISNUMBER(G195)),G195&lt;=0,G195&lt;E195),"Recebimento ou validade inválida",IF(AND(F195&lt;&gt;"",OR(NOT(ISNUMBER(F195)),F195&lt;=0,F195&gt;E195)),"Fabricação inválida ou posterior ao recebimento",IF(OR(NOT(ISNUMBER(K195)),K195&lt;0,NOT(ISNUMBER(I195)),I195&lt;0),"Quantidade recebida ou custo inválido",IF(AND(M195&lt;&gt;"Liberado",M195&lt;&gt;"Quarentena",M195&lt;&gt;"Bloqueado",M195&lt;&gt;"Esgotado"),"Status de lote inválido",""))))))))</x:f>
      </x:c>
      <x:c r="T195" s="163" t="n">
        <x:f>IF(A195="",0,COUNTIFS(Movimentacoes!$D$5:$D$304,A195,Movimentacoes!$P$5:$P$304,1))</x:f>
        <x:v>0</x:v>
      </x:c>
      <x:c r="U195" s="163" t="n">
        <x:f>IF(COUNTA(A195:B195,D195:G195,I195,K195,M195,Q195,AB195:AD195)=0,0,IF(OR(S195&lt;&gt;"",T195&gt;0),1,IF(ISNUMBER(J195),IF(OR(J195&lt;0,AND(J195&gt;0,M195="Esgotado")),1,0),0)))</x:f>
        <x:v>0</x:v>
      </x:c>
      <x:c r="V195" s="163" t="str">
        <x:f>IF(A195="","",IF(OR(U195&gt;0,Listas!$B$13&lt;&gt;"OK"),"n.a.",IF(AND(J195&gt;0,M195="Liberado",G195&gt;=Listas!$B$6),J195,0)))</x:f>
      </x:c>
      <x:c r="W195" s="163" t="str">
        <x:f>IF(A195="","",IF(OR(U195&gt;0,Listas!$B$13&lt;&gt;"OK"),"n.a.",V195*K195))</x:f>
      </x:c>
      <x:c r="X195" s="167" t="n">
        <x:f>IF(COUNTA(A195:B195,D195:G195,I195,K195,M195,Q195,AB195:AD195)=0,0,IF(OR(Listas!$B$19="Todos",B195=Listas!$B$19,COUNTIFS(Produtos!$A$5:$A$204,B195)&lt;&gt;1),1,0))</x:f>
        <x:v>0</x:v>
      </x:c>
      <x:c r="Y195" s="167" t="str">
        <x:f>IF(X195=0,"",IF(Listas!$B$13&lt;&gt;"OK","Revisar parâmetros",IF(U195&gt;0,IF(S195&lt;&gt;"",S195,IF(T195&gt;0,"Revisar movimentos",IF(AND(ISNUMBER(J195),J195&lt;0),"Saldo negativo","Status esgotado com saldo"))),IF(AG195&lt;&gt;"",AG195&amp;". ","")&amp;IF(J195&lt;=0,"",IF(N195="VENCIDO","Validade vencida. ","")&amp;IF(M195="Quarentena","Em quarentena. ","")&amp;IF(M195="Bloqueado","Lote bloqueado. ","")&amp;IF(N195="CRÍTICO","Validade crítica. ","")&amp;IF(N195="VENCE NA JANELA","Vence na janela. ","")))))</x:f>
      </x:c>
      <x:c r="Z195" s="167" t="n">
        <x:f>IF(OR(X195=0,Y195=""),0,IF(OR(Listas!$B$13&lt;&gt;"OK",U195&gt;0,AH195&gt;0),1,IF(N195="VENCIDO",2,IF(OR(M195="Quarentena",M195="Bloqueado"),3,IF(N195="CRÍTICO",4,5)))))</x:f>
        <x:v>0</x:v>
      </x:c>
      <x:c r="AA195" s="167" t="n">
        <x:f>IF(Z195=0,0,COUNTIFS($Z$5:$Z$204,"&gt;0",$Z$5:$Z$204,"&lt;"&amp;Z195,$X$5:$X$204,1)+COUNTIFS($Z$5:Z195,Z195,$X$5:X195,1))</x:f>
        <x:v>0</x:v>
      </x:c>
      <x:c r="AB195" s="168"/>
      <x:c r="AC195" s="168"/>
      <x:c r="AD195" s="169"/>
      <x:c r="AE195" s="167" t="str">
        <x:f>IF(X195=0,"",IF(OR(U195&gt;0,Listas!$B$13&lt;&gt;"OK"),"Dados pendentes",IF(J195&lt;=0,"Sem saldo",IF(N195="VENCIDO","Vencidos",IF(OR(M195="Quarentena",M195="Bloqueado"),"Restritos vigentes",IF(OR(N195="CRÍTICO",N195="VENCE NA JANELA"),"Liberados na janela","Demais liberados"))))))</x:f>
      </x:c>
      <x:c r="AF195" s="167" t="str">
        <x:f>IF(A195&lt;&gt;"",A195,IF(U195&gt;0,"Sem ID (linha "&amp;ROW()&amp;")",""))</x:f>
      </x:c>
      <x:c r="AG195" s="167" t="str">
        <x:f>IF(AD195="","",IF(OR(NOT(ISNUMBER(AD195)),AD195&lt;=0),"Prazo da ação inválido",""))</x:f>
      </x:c>
      <x:c r="AH195" s="167" t="n">
        <x:f>IF(AG195="",0,1)</x:f>
        <x:v>0</x:v>
      </x:c>
    </x:row>
    <x:row r="196" ht="32" customHeight="1">
      <x:c r="A196" s="27"/>
      <x:c r="B196" s="27"/>
      <x:c r="C196" s="40" t="str">
        <x:f>IF($B196="","",IFERROR(INDEX(Produtos!$B$5:$B$204,MATCH($B196,Produtos!$A$5:$A$204,0)),""))</x:f>
      </x:c>
      <x:c r="D196" s="170"/>
      <x:c r="E196" s="179"/>
      <x:c r="F196" s="179"/>
      <x:c r="G196" s="179"/>
      <x:c r="H196" s="40" t="str">
        <x:f>IF(A196="","",IF(OR(S196&lt;&gt;"",Listas!$B$13&lt;&gt;"OK"),"n.a.",G196-Listas!$B$6))</x:f>
      </x:c>
      <x:c r="I196" s="40"/>
      <x:c r="J196" s="40" t="str">
        <x:f>IF(A196="","",IF(OR(S196&lt;&gt;"",T196&gt;0,Listas!$B$13&lt;&gt;"OK"),"n.a.",SUMIFS(Movimentacoes!$H$5:$H$304,Movimentacoes!$D$5:$D$304,A196,Movimentacoes!$B$5:$B$304,"&lt;="&amp;Listas!$B$6)))</x:f>
      </x:c>
      <x:c r="K196" s="180"/>
      <x:c r="L196" s="181" t="str">
        <x:f>IF(A196="","",IF(OR(U196&gt;0,Listas!$B$13&lt;&gt;"OK"),"n.a.",J196*K196))</x:f>
      </x:c>
      <x:c r="M196" s="27"/>
      <x:c r="N196" s="40" t="str">
        <x:f>IF(A196="","",IF(OR(U196&gt;0,Listas!$B$13&lt;&gt;"OK"),"REVISAR DADOS",IF(J196=0,"SEM SALDO",IF(G196&lt;Listas!$B$6,"VENCIDO",IF(H196&lt;=Listas!$B$7,"CRÍTICO",IF(H196&lt;=Listas!$B$8,"VENCE NA JANELA","OK"))))))</x:f>
      </x:c>
      <x:c r="O196" s="41" t="str">
        <x:f>IF(A196="","",IF(AND(ISNUMBER(V196),V196&gt;0),G196,""))</x:f>
      </x:c>
      <x:c r="P196" s="40" t="str">
        <x:f>IF(A196="","",IF(OR(U196&gt;0,Listas!$B$13&lt;&gt;"OK"),"REVISAR DADOS",IF(J196=0,"ARQUIVAR LOTE",IF(M196="Quarentena","DECIDIR LIBERAÇÃO",IF(M196="Bloqueado","SEGREGAR E INVESTIGAR",IF(M196="Esgotado","REVISAR STATUS COM SALDO",IF(N196="VENCIDO","SEGREGAR E AVALIAR DESTINAÇÃO",IF(OR(N196="CRÍTICO",N196="VENCE NA JANELA"),"PRIORIZAR FEFO","MANTER ROTAÇÃO"))))))))</x:f>
      </x:c>
      <x:c r="Q196" s="27"/>
      <x:c r="R196" s="181" t="str">
        <x:f>IF(A196="","",IF(OR(U196&gt;0,Listas!$B$13&lt;&gt;"OK"),"n.a.",IF(OR(N196="VENCIDO",N196="CRÍTICO",N196="VENCE NA JANELA",M196="Quarentena",M196="Bloqueado"),L196,0)))</x:f>
      </x:c>
      <x:c r="S196" s="163" t="str">
        <x:f>IF(COUNTA(A196:B196,D196:G196,I196,K196,M196,Q196,AB196:AD196)=0,"",IF(OR(A196="",COUNTIFS($A$5:$A$204,A196)&lt;&gt;1),"Lote ausente ou duplicado",IF(OR(B196="",COUNTIFS(Produtos!$A$5:$A$204,B196)&lt;&gt;1),"SKU ausente ou desconhecido",IF(COUNTIFS(Produtos!$A$5:$A$204,B196,Produtos!$R$5:$R$204,1)&gt;0,"Revisar cadastro do produto",IF(OR(NOT(ISNUMBER(E196)),E196&lt;=0,NOT(ISNUMBER(G196)),G196&lt;=0,G196&lt;E196),"Recebimento ou validade inválida",IF(AND(F196&lt;&gt;"",OR(NOT(ISNUMBER(F196)),F196&lt;=0,F196&gt;E196)),"Fabricação inválida ou posterior ao recebimento",IF(OR(NOT(ISNUMBER(K196)),K196&lt;0,NOT(ISNUMBER(I196)),I196&lt;0),"Quantidade recebida ou custo inválido",IF(AND(M196&lt;&gt;"Liberado",M196&lt;&gt;"Quarentena",M196&lt;&gt;"Bloqueado",M196&lt;&gt;"Esgotado"),"Status de lote inválido",""))))))))</x:f>
      </x:c>
      <x:c r="T196" s="163" t="n">
        <x:f>IF(A196="",0,COUNTIFS(Movimentacoes!$D$5:$D$304,A196,Movimentacoes!$P$5:$P$304,1))</x:f>
        <x:v>0</x:v>
      </x:c>
      <x:c r="U196" s="163" t="n">
        <x:f>IF(COUNTA(A196:B196,D196:G196,I196,K196,M196,Q196,AB196:AD196)=0,0,IF(OR(S196&lt;&gt;"",T196&gt;0),1,IF(ISNUMBER(J196),IF(OR(J196&lt;0,AND(J196&gt;0,M196="Esgotado")),1,0),0)))</x:f>
        <x:v>0</x:v>
      </x:c>
      <x:c r="V196" s="163" t="str">
        <x:f>IF(A196="","",IF(OR(U196&gt;0,Listas!$B$13&lt;&gt;"OK"),"n.a.",IF(AND(J196&gt;0,M196="Liberado",G196&gt;=Listas!$B$6),J196,0)))</x:f>
      </x:c>
      <x:c r="W196" s="163" t="str">
        <x:f>IF(A196="","",IF(OR(U196&gt;0,Listas!$B$13&lt;&gt;"OK"),"n.a.",V196*K196))</x:f>
      </x:c>
      <x:c r="X196" s="167" t="n">
        <x:f>IF(COUNTA(A196:B196,D196:G196,I196,K196,M196,Q196,AB196:AD196)=0,0,IF(OR(Listas!$B$19="Todos",B196=Listas!$B$19,COUNTIFS(Produtos!$A$5:$A$204,B196)&lt;&gt;1),1,0))</x:f>
        <x:v>0</x:v>
      </x:c>
      <x:c r="Y196" s="167" t="str">
        <x:f>IF(X196=0,"",IF(Listas!$B$13&lt;&gt;"OK","Revisar parâmetros",IF(U196&gt;0,IF(S196&lt;&gt;"",S196,IF(T196&gt;0,"Revisar movimentos",IF(AND(ISNUMBER(J196),J196&lt;0),"Saldo negativo","Status esgotado com saldo"))),IF(AG196&lt;&gt;"",AG196&amp;". ","")&amp;IF(J196&lt;=0,"",IF(N196="VENCIDO","Validade vencida. ","")&amp;IF(M196="Quarentena","Em quarentena. ","")&amp;IF(M196="Bloqueado","Lote bloqueado. ","")&amp;IF(N196="CRÍTICO","Validade crítica. ","")&amp;IF(N196="VENCE NA JANELA","Vence na janela. ","")))))</x:f>
      </x:c>
      <x:c r="Z196" s="167" t="n">
        <x:f>IF(OR(X196=0,Y196=""),0,IF(OR(Listas!$B$13&lt;&gt;"OK",U196&gt;0,AH196&gt;0),1,IF(N196="VENCIDO",2,IF(OR(M196="Quarentena",M196="Bloqueado"),3,IF(N196="CRÍTICO",4,5)))))</x:f>
        <x:v>0</x:v>
      </x:c>
      <x:c r="AA196" s="167" t="n">
        <x:f>IF(Z196=0,0,COUNTIFS($Z$5:$Z$204,"&gt;0",$Z$5:$Z$204,"&lt;"&amp;Z196,$X$5:$X$204,1)+COUNTIFS($Z$5:Z196,Z196,$X$5:X196,1))</x:f>
        <x:v>0</x:v>
      </x:c>
      <x:c r="AB196" s="168"/>
      <x:c r="AC196" s="168"/>
      <x:c r="AD196" s="169"/>
      <x:c r="AE196" s="167" t="str">
        <x:f>IF(X196=0,"",IF(OR(U196&gt;0,Listas!$B$13&lt;&gt;"OK"),"Dados pendentes",IF(J196&lt;=0,"Sem saldo",IF(N196="VENCIDO","Vencidos",IF(OR(M196="Quarentena",M196="Bloqueado"),"Restritos vigentes",IF(OR(N196="CRÍTICO",N196="VENCE NA JANELA"),"Liberados na janela","Demais liberados"))))))</x:f>
      </x:c>
      <x:c r="AF196" s="167" t="str">
        <x:f>IF(A196&lt;&gt;"",A196,IF(U196&gt;0,"Sem ID (linha "&amp;ROW()&amp;")",""))</x:f>
      </x:c>
      <x:c r="AG196" s="167" t="str">
        <x:f>IF(AD196="","",IF(OR(NOT(ISNUMBER(AD196)),AD196&lt;=0),"Prazo da ação inválido",""))</x:f>
      </x:c>
      <x:c r="AH196" s="167" t="n">
        <x:f>IF(AG196="",0,1)</x:f>
        <x:v>0</x:v>
      </x:c>
    </x:row>
    <x:row r="197" ht="32" customHeight="1">
      <x:c r="A197" s="27"/>
      <x:c r="B197" s="27"/>
      <x:c r="C197" s="40" t="str">
        <x:f>IF($B197="","",IFERROR(INDEX(Produtos!$B$5:$B$204,MATCH($B197,Produtos!$A$5:$A$204,0)),""))</x:f>
      </x:c>
      <x:c r="D197" s="170"/>
      <x:c r="E197" s="179"/>
      <x:c r="F197" s="179"/>
      <x:c r="G197" s="179"/>
      <x:c r="H197" s="40" t="str">
        <x:f>IF(A197="","",IF(OR(S197&lt;&gt;"",Listas!$B$13&lt;&gt;"OK"),"n.a.",G197-Listas!$B$6))</x:f>
      </x:c>
      <x:c r="I197" s="40"/>
      <x:c r="J197" s="40" t="str">
        <x:f>IF(A197="","",IF(OR(S197&lt;&gt;"",T197&gt;0,Listas!$B$13&lt;&gt;"OK"),"n.a.",SUMIFS(Movimentacoes!$H$5:$H$304,Movimentacoes!$D$5:$D$304,A197,Movimentacoes!$B$5:$B$304,"&lt;="&amp;Listas!$B$6)))</x:f>
      </x:c>
      <x:c r="K197" s="180"/>
      <x:c r="L197" s="181" t="str">
        <x:f>IF(A197="","",IF(OR(U197&gt;0,Listas!$B$13&lt;&gt;"OK"),"n.a.",J197*K197))</x:f>
      </x:c>
      <x:c r="M197" s="27"/>
      <x:c r="N197" s="40" t="str">
        <x:f>IF(A197="","",IF(OR(U197&gt;0,Listas!$B$13&lt;&gt;"OK"),"REVISAR DADOS",IF(J197=0,"SEM SALDO",IF(G197&lt;Listas!$B$6,"VENCIDO",IF(H197&lt;=Listas!$B$7,"CRÍTICO",IF(H197&lt;=Listas!$B$8,"VENCE NA JANELA","OK"))))))</x:f>
      </x:c>
      <x:c r="O197" s="41" t="str">
        <x:f>IF(A197="","",IF(AND(ISNUMBER(V197),V197&gt;0),G197,""))</x:f>
      </x:c>
      <x:c r="P197" s="40" t="str">
        <x:f>IF(A197="","",IF(OR(U197&gt;0,Listas!$B$13&lt;&gt;"OK"),"REVISAR DADOS",IF(J197=0,"ARQUIVAR LOTE",IF(M197="Quarentena","DECIDIR LIBERAÇÃO",IF(M197="Bloqueado","SEGREGAR E INVESTIGAR",IF(M197="Esgotado","REVISAR STATUS COM SALDO",IF(N197="VENCIDO","SEGREGAR E AVALIAR DESTINAÇÃO",IF(OR(N197="CRÍTICO",N197="VENCE NA JANELA"),"PRIORIZAR FEFO","MANTER ROTAÇÃO"))))))))</x:f>
      </x:c>
      <x:c r="Q197" s="27"/>
      <x:c r="R197" s="181" t="str">
        <x:f>IF(A197="","",IF(OR(U197&gt;0,Listas!$B$13&lt;&gt;"OK"),"n.a.",IF(OR(N197="VENCIDO",N197="CRÍTICO",N197="VENCE NA JANELA",M197="Quarentena",M197="Bloqueado"),L197,0)))</x:f>
      </x:c>
      <x:c r="S197" s="163" t="str">
        <x:f>IF(COUNTA(A197:B197,D197:G197,I197,K197,M197,Q197,AB197:AD197)=0,"",IF(OR(A197="",COUNTIFS($A$5:$A$204,A197)&lt;&gt;1),"Lote ausente ou duplicado",IF(OR(B197="",COUNTIFS(Produtos!$A$5:$A$204,B197)&lt;&gt;1),"SKU ausente ou desconhecido",IF(COUNTIFS(Produtos!$A$5:$A$204,B197,Produtos!$R$5:$R$204,1)&gt;0,"Revisar cadastro do produto",IF(OR(NOT(ISNUMBER(E197)),E197&lt;=0,NOT(ISNUMBER(G197)),G197&lt;=0,G197&lt;E197),"Recebimento ou validade inválida",IF(AND(F197&lt;&gt;"",OR(NOT(ISNUMBER(F197)),F197&lt;=0,F197&gt;E197)),"Fabricação inválida ou posterior ao recebimento",IF(OR(NOT(ISNUMBER(K197)),K197&lt;0,NOT(ISNUMBER(I197)),I197&lt;0),"Quantidade recebida ou custo inválido",IF(AND(M197&lt;&gt;"Liberado",M197&lt;&gt;"Quarentena",M197&lt;&gt;"Bloqueado",M197&lt;&gt;"Esgotado"),"Status de lote inválido",""))))))))</x:f>
      </x:c>
      <x:c r="T197" s="163" t="n">
        <x:f>IF(A197="",0,COUNTIFS(Movimentacoes!$D$5:$D$304,A197,Movimentacoes!$P$5:$P$304,1))</x:f>
        <x:v>0</x:v>
      </x:c>
      <x:c r="U197" s="163" t="n">
        <x:f>IF(COUNTA(A197:B197,D197:G197,I197,K197,M197,Q197,AB197:AD197)=0,0,IF(OR(S197&lt;&gt;"",T197&gt;0),1,IF(ISNUMBER(J197),IF(OR(J197&lt;0,AND(J197&gt;0,M197="Esgotado")),1,0),0)))</x:f>
        <x:v>0</x:v>
      </x:c>
      <x:c r="V197" s="163" t="str">
        <x:f>IF(A197="","",IF(OR(U197&gt;0,Listas!$B$13&lt;&gt;"OK"),"n.a.",IF(AND(J197&gt;0,M197="Liberado",G197&gt;=Listas!$B$6),J197,0)))</x:f>
      </x:c>
      <x:c r="W197" s="163" t="str">
        <x:f>IF(A197="","",IF(OR(U197&gt;0,Listas!$B$13&lt;&gt;"OK"),"n.a.",V197*K197))</x:f>
      </x:c>
      <x:c r="X197" s="167" t="n">
        <x:f>IF(COUNTA(A197:B197,D197:G197,I197,K197,M197,Q197,AB197:AD197)=0,0,IF(OR(Listas!$B$19="Todos",B197=Listas!$B$19,COUNTIFS(Produtos!$A$5:$A$204,B197)&lt;&gt;1),1,0))</x:f>
        <x:v>0</x:v>
      </x:c>
      <x:c r="Y197" s="167" t="str">
        <x:f>IF(X197=0,"",IF(Listas!$B$13&lt;&gt;"OK","Revisar parâmetros",IF(U197&gt;0,IF(S197&lt;&gt;"",S197,IF(T197&gt;0,"Revisar movimentos",IF(AND(ISNUMBER(J197),J197&lt;0),"Saldo negativo","Status esgotado com saldo"))),IF(AG197&lt;&gt;"",AG197&amp;". ","")&amp;IF(J197&lt;=0,"",IF(N197="VENCIDO","Validade vencida. ","")&amp;IF(M197="Quarentena","Em quarentena. ","")&amp;IF(M197="Bloqueado","Lote bloqueado. ","")&amp;IF(N197="CRÍTICO","Validade crítica. ","")&amp;IF(N197="VENCE NA JANELA","Vence na janela. ","")))))</x:f>
      </x:c>
      <x:c r="Z197" s="167" t="n">
        <x:f>IF(OR(X197=0,Y197=""),0,IF(OR(Listas!$B$13&lt;&gt;"OK",U197&gt;0,AH197&gt;0),1,IF(N197="VENCIDO",2,IF(OR(M197="Quarentena",M197="Bloqueado"),3,IF(N197="CRÍTICO",4,5)))))</x:f>
        <x:v>0</x:v>
      </x:c>
      <x:c r="AA197" s="167" t="n">
        <x:f>IF(Z197=0,0,COUNTIFS($Z$5:$Z$204,"&gt;0",$Z$5:$Z$204,"&lt;"&amp;Z197,$X$5:$X$204,1)+COUNTIFS($Z$5:Z197,Z197,$X$5:X197,1))</x:f>
        <x:v>0</x:v>
      </x:c>
      <x:c r="AB197" s="168"/>
      <x:c r="AC197" s="168"/>
      <x:c r="AD197" s="169"/>
      <x:c r="AE197" s="167" t="str">
        <x:f>IF(X197=0,"",IF(OR(U197&gt;0,Listas!$B$13&lt;&gt;"OK"),"Dados pendentes",IF(J197&lt;=0,"Sem saldo",IF(N197="VENCIDO","Vencidos",IF(OR(M197="Quarentena",M197="Bloqueado"),"Restritos vigentes",IF(OR(N197="CRÍTICO",N197="VENCE NA JANELA"),"Liberados na janela","Demais liberados"))))))</x:f>
      </x:c>
      <x:c r="AF197" s="167" t="str">
        <x:f>IF(A197&lt;&gt;"",A197,IF(U197&gt;0,"Sem ID (linha "&amp;ROW()&amp;")",""))</x:f>
      </x:c>
      <x:c r="AG197" s="167" t="str">
        <x:f>IF(AD197="","",IF(OR(NOT(ISNUMBER(AD197)),AD197&lt;=0),"Prazo da ação inválido",""))</x:f>
      </x:c>
      <x:c r="AH197" s="167" t="n">
        <x:f>IF(AG197="",0,1)</x:f>
        <x:v>0</x:v>
      </x:c>
    </x:row>
    <x:row r="198" ht="32" customHeight="1">
      <x:c r="A198" s="27"/>
      <x:c r="B198" s="27"/>
      <x:c r="C198" s="40" t="str">
        <x:f>IF($B198="","",IFERROR(INDEX(Produtos!$B$5:$B$204,MATCH($B198,Produtos!$A$5:$A$204,0)),""))</x:f>
      </x:c>
      <x:c r="D198" s="170"/>
      <x:c r="E198" s="179"/>
      <x:c r="F198" s="179"/>
      <x:c r="G198" s="179"/>
      <x:c r="H198" s="40" t="str">
        <x:f>IF(A198="","",IF(OR(S198&lt;&gt;"",Listas!$B$13&lt;&gt;"OK"),"n.a.",G198-Listas!$B$6))</x:f>
      </x:c>
      <x:c r="I198" s="40"/>
      <x:c r="J198" s="40" t="str">
        <x:f>IF(A198="","",IF(OR(S198&lt;&gt;"",T198&gt;0,Listas!$B$13&lt;&gt;"OK"),"n.a.",SUMIFS(Movimentacoes!$H$5:$H$304,Movimentacoes!$D$5:$D$304,A198,Movimentacoes!$B$5:$B$304,"&lt;="&amp;Listas!$B$6)))</x:f>
      </x:c>
      <x:c r="K198" s="180"/>
      <x:c r="L198" s="181" t="str">
        <x:f>IF(A198="","",IF(OR(U198&gt;0,Listas!$B$13&lt;&gt;"OK"),"n.a.",J198*K198))</x:f>
      </x:c>
      <x:c r="M198" s="27"/>
      <x:c r="N198" s="40" t="str">
        <x:f>IF(A198="","",IF(OR(U198&gt;0,Listas!$B$13&lt;&gt;"OK"),"REVISAR DADOS",IF(J198=0,"SEM SALDO",IF(G198&lt;Listas!$B$6,"VENCIDO",IF(H198&lt;=Listas!$B$7,"CRÍTICO",IF(H198&lt;=Listas!$B$8,"VENCE NA JANELA","OK"))))))</x:f>
      </x:c>
      <x:c r="O198" s="41" t="str">
        <x:f>IF(A198="","",IF(AND(ISNUMBER(V198),V198&gt;0),G198,""))</x:f>
      </x:c>
      <x:c r="P198" s="40" t="str">
        <x:f>IF(A198="","",IF(OR(U198&gt;0,Listas!$B$13&lt;&gt;"OK"),"REVISAR DADOS",IF(J198=0,"ARQUIVAR LOTE",IF(M198="Quarentena","DECIDIR LIBERAÇÃO",IF(M198="Bloqueado","SEGREGAR E INVESTIGAR",IF(M198="Esgotado","REVISAR STATUS COM SALDO",IF(N198="VENCIDO","SEGREGAR E AVALIAR DESTINAÇÃO",IF(OR(N198="CRÍTICO",N198="VENCE NA JANELA"),"PRIORIZAR FEFO","MANTER ROTAÇÃO"))))))))</x:f>
      </x:c>
      <x:c r="Q198" s="27"/>
      <x:c r="R198" s="181" t="str">
        <x:f>IF(A198="","",IF(OR(U198&gt;0,Listas!$B$13&lt;&gt;"OK"),"n.a.",IF(OR(N198="VENCIDO",N198="CRÍTICO",N198="VENCE NA JANELA",M198="Quarentena",M198="Bloqueado"),L198,0)))</x:f>
      </x:c>
      <x:c r="S198" s="163" t="str">
        <x:f>IF(COUNTA(A198:B198,D198:G198,I198,K198,M198,Q198,AB198:AD198)=0,"",IF(OR(A198="",COUNTIFS($A$5:$A$204,A198)&lt;&gt;1),"Lote ausente ou duplicado",IF(OR(B198="",COUNTIFS(Produtos!$A$5:$A$204,B198)&lt;&gt;1),"SKU ausente ou desconhecido",IF(COUNTIFS(Produtos!$A$5:$A$204,B198,Produtos!$R$5:$R$204,1)&gt;0,"Revisar cadastro do produto",IF(OR(NOT(ISNUMBER(E198)),E198&lt;=0,NOT(ISNUMBER(G198)),G198&lt;=0,G198&lt;E198),"Recebimento ou validade inválida",IF(AND(F198&lt;&gt;"",OR(NOT(ISNUMBER(F198)),F198&lt;=0,F198&gt;E198)),"Fabricação inválida ou posterior ao recebimento",IF(OR(NOT(ISNUMBER(K198)),K198&lt;0,NOT(ISNUMBER(I198)),I198&lt;0),"Quantidade recebida ou custo inválido",IF(AND(M198&lt;&gt;"Liberado",M198&lt;&gt;"Quarentena",M198&lt;&gt;"Bloqueado",M198&lt;&gt;"Esgotado"),"Status de lote inválido",""))))))))</x:f>
      </x:c>
      <x:c r="T198" s="163" t="n">
        <x:f>IF(A198="",0,COUNTIFS(Movimentacoes!$D$5:$D$304,A198,Movimentacoes!$P$5:$P$304,1))</x:f>
        <x:v>0</x:v>
      </x:c>
      <x:c r="U198" s="163" t="n">
        <x:f>IF(COUNTA(A198:B198,D198:G198,I198,K198,M198,Q198,AB198:AD198)=0,0,IF(OR(S198&lt;&gt;"",T198&gt;0),1,IF(ISNUMBER(J198),IF(OR(J198&lt;0,AND(J198&gt;0,M198="Esgotado")),1,0),0)))</x:f>
        <x:v>0</x:v>
      </x:c>
      <x:c r="V198" s="163" t="str">
        <x:f>IF(A198="","",IF(OR(U198&gt;0,Listas!$B$13&lt;&gt;"OK"),"n.a.",IF(AND(J198&gt;0,M198="Liberado",G198&gt;=Listas!$B$6),J198,0)))</x:f>
      </x:c>
      <x:c r="W198" s="163" t="str">
        <x:f>IF(A198="","",IF(OR(U198&gt;0,Listas!$B$13&lt;&gt;"OK"),"n.a.",V198*K198))</x:f>
      </x:c>
      <x:c r="X198" s="167" t="n">
        <x:f>IF(COUNTA(A198:B198,D198:G198,I198,K198,M198,Q198,AB198:AD198)=0,0,IF(OR(Listas!$B$19="Todos",B198=Listas!$B$19,COUNTIFS(Produtos!$A$5:$A$204,B198)&lt;&gt;1),1,0))</x:f>
        <x:v>0</x:v>
      </x:c>
      <x:c r="Y198" s="167" t="str">
        <x:f>IF(X198=0,"",IF(Listas!$B$13&lt;&gt;"OK","Revisar parâmetros",IF(U198&gt;0,IF(S198&lt;&gt;"",S198,IF(T198&gt;0,"Revisar movimentos",IF(AND(ISNUMBER(J198),J198&lt;0),"Saldo negativo","Status esgotado com saldo"))),IF(AG198&lt;&gt;"",AG198&amp;". ","")&amp;IF(J198&lt;=0,"",IF(N198="VENCIDO","Validade vencida. ","")&amp;IF(M198="Quarentena","Em quarentena. ","")&amp;IF(M198="Bloqueado","Lote bloqueado. ","")&amp;IF(N198="CRÍTICO","Validade crítica. ","")&amp;IF(N198="VENCE NA JANELA","Vence na janela. ","")))))</x:f>
      </x:c>
      <x:c r="Z198" s="167" t="n">
        <x:f>IF(OR(X198=0,Y198=""),0,IF(OR(Listas!$B$13&lt;&gt;"OK",U198&gt;0,AH198&gt;0),1,IF(N198="VENCIDO",2,IF(OR(M198="Quarentena",M198="Bloqueado"),3,IF(N198="CRÍTICO",4,5)))))</x:f>
        <x:v>0</x:v>
      </x:c>
      <x:c r="AA198" s="167" t="n">
        <x:f>IF(Z198=0,0,COUNTIFS($Z$5:$Z$204,"&gt;0",$Z$5:$Z$204,"&lt;"&amp;Z198,$X$5:$X$204,1)+COUNTIFS($Z$5:Z198,Z198,$X$5:X198,1))</x:f>
        <x:v>0</x:v>
      </x:c>
      <x:c r="AB198" s="168"/>
      <x:c r="AC198" s="168"/>
      <x:c r="AD198" s="169"/>
      <x:c r="AE198" s="167" t="str">
        <x:f>IF(X198=0,"",IF(OR(U198&gt;0,Listas!$B$13&lt;&gt;"OK"),"Dados pendentes",IF(J198&lt;=0,"Sem saldo",IF(N198="VENCIDO","Vencidos",IF(OR(M198="Quarentena",M198="Bloqueado"),"Restritos vigentes",IF(OR(N198="CRÍTICO",N198="VENCE NA JANELA"),"Liberados na janela","Demais liberados"))))))</x:f>
      </x:c>
      <x:c r="AF198" s="167" t="str">
        <x:f>IF(A198&lt;&gt;"",A198,IF(U198&gt;0,"Sem ID (linha "&amp;ROW()&amp;")",""))</x:f>
      </x:c>
      <x:c r="AG198" s="167" t="str">
        <x:f>IF(AD198="","",IF(OR(NOT(ISNUMBER(AD198)),AD198&lt;=0),"Prazo da ação inválido",""))</x:f>
      </x:c>
      <x:c r="AH198" s="167" t="n">
        <x:f>IF(AG198="",0,1)</x:f>
        <x:v>0</x:v>
      </x:c>
    </x:row>
    <x:row r="199" ht="32" customHeight="1">
      <x:c r="A199" s="27"/>
      <x:c r="B199" s="27"/>
      <x:c r="C199" s="40" t="str">
        <x:f>IF($B199="","",IFERROR(INDEX(Produtos!$B$5:$B$204,MATCH($B199,Produtos!$A$5:$A$204,0)),""))</x:f>
      </x:c>
      <x:c r="D199" s="170"/>
      <x:c r="E199" s="179"/>
      <x:c r="F199" s="179"/>
      <x:c r="G199" s="179"/>
      <x:c r="H199" s="40" t="str">
        <x:f>IF(A199="","",IF(OR(S199&lt;&gt;"",Listas!$B$13&lt;&gt;"OK"),"n.a.",G199-Listas!$B$6))</x:f>
      </x:c>
      <x:c r="I199" s="40"/>
      <x:c r="J199" s="40" t="str">
        <x:f>IF(A199="","",IF(OR(S199&lt;&gt;"",T199&gt;0,Listas!$B$13&lt;&gt;"OK"),"n.a.",SUMIFS(Movimentacoes!$H$5:$H$304,Movimentacoes!$D$5:$D$304,A199,Movimentacoes!$B$5:$B$304,"&lt;="&amp;Listas!$B$6)))</x:f>
      </x:c>
      <x:c r="K199" s="180"/>
      <x:c r="L199" s="181" t="str">
        <x:f>IF(A199="","",IF(OR(U199&gt;0,Listas!$B$13&lt;&gt;"OK"),"n.a.",J199*K199))</x:f>
      </x:c>
      <x:c r="M199" s="27"/>
      <x:c r="N199" s="40" t="str">
        <x:f>IF(A199="","",IF(OR(U199&gt;0,Listas!$B$13&lt;&gt;"OK"),"REVISAR DADOS",IF(J199=0,"SEM SALDO",IF(G199&lt;Listas!$B$6,"VENCIDO",IF(H199&lt;=Listas!$B$7,"CRÍTICO",IF(H199&lt;=Listas!$B$8,"VENCE NA JANELA","OK"))))))</x:f>
      </x:c>
      <x:c r="O199" s="41" t="str">
        <x:f>IF(A199="","",IF(AND(ISNUMBER(V199),V199&gt;0),G199,""))</x:f>
      </x:c>
      <x:c r="P199" s="40" t="str">
        <x:f>IF(A199="","",IF(OR(U199&gt;0,Listas!$B$13&lt;&gt;"OK"),"REVISAR DADOS",IF(J199=0,"ARQUIVAR LOTE",IF(M199="Quarentena","DECIDIR LIBERAÇÃO",IF(M199="Bloqueado","SEGREGAR E INVESTIGAR",IF(M199="Esgotado","REVISAR STATUS COM SALDO",IF(N199="VENCIDO","SEGREGAR E AVALIAR DESTINAÇÃO",IF(OR(N199="CRÍTICO",N199="VENCE NA JANELA"),"PRIORIZAR FEFO","MANTER ROTAÇÃO"))))))))</x:f>
      </x:c>
      <x:c r="Q199" s="27"/>
      <x:c r="R199" s="181" t="str">
        <x:f>IF(A199="","",IF(OR(U199&gt;0,Listas!$B$13&lt;&gt;"OK"),"n.a.",IF(OR(N199="VENCIDO",N199="CRÍTICO",N199="VENCE NA JANELA",M199="Quarentena",M199="Bloqueado"),L199,0)))</x:f>
      </x:c>
      <x:c r="S199" s="163" t="str">
        <x:f>IF(COUNTA(A199:B199,D199:G199,I199,K199,M199,Q199,AB199:AD199)=0,"",IF(OR(A199="",COUNTIFS($A$5:$A$204,A199)&lt;&gt;1),"Lote ausente ou duplicado",IF(OR(B199="",COUNTIFS(Produtos!$A$5:$A$204,B199)&lt;&gt;1),"SKU ausente ou desconhecido",IF(COUNTIFS(Produtos!$A$5:$A$204,B199,Produtos!$R$5:$R$204,1)&gt;0,"Revisar cadastro do produto",IF(OR(NOT(ISNUMBER(E199)),E199&lt;=0,NOT(ISNUMBER(G199)),G199&lt;=0,G199&lt;E199),"Recebimento ou validade inválida",IF(AND(F199&lt;&gt;"",OR(NOT(ISNUMBER(F199)),F199&lt;=0,F199&gt;E199)),"Fabricação inválida ou posterior ao recebimento",IF(OR(NOT(ISNUMBER(K199)),K199&lt;0,NOT(ISNUMBER(I199)),I199&lt;0),"Quantidade recebida ou custo inválido",IF(AND(M199&lt;&gt;"Liberado",M199&lt;&gt;"Quarentena",M199&lt;&gt;"Bloqueado",M199&lt;&gt;"Esgotado"),"Status de lote inválido",""))))))))</x:f>
      </x:c>
      <x:c r="T199" s="163" t="n">
        <x:f>IF(A199="",0,COUNTIFS(Movimentacoes!$D$5:$D$304,A199,Movimentacoes!$P$5:$P$304,1))</x:f>
        <x:v>0</x:v>
      </x:c>
      <x:c r="U199" s="163" t="n">
        <x:f>IF(COUNTA(A199:B199,D199:G199,I199,K199,M199,Q199,AB199:AD199)=0,0,IF(OR(S199&lt;&gt;"",T199&gt;0),1,IF(ISNUMBER(J199),IF(OR(J199&lt;0,AND(J199&gt;0,M199="Esgotado")),1,0),0)))</x:f>
        <x:v>0</x:v>
      </x:c>
      <x:c r="V199" s="163" t="str">
        <x:f>IF(A199="","",IF(OR(U199&gt;0,Listas!$B$13&lt;&gt;"OK"),"n.a.",IF(AND(J199&gt;0,M199="Liberado",G199&gt;=Listas!$B$6),J199,0)))</x:f>
      </x:c>
      <x:c r="W199" s="163" t="str">
        <x:f>IF(A199="","",IF(OR(U199&gt;0,Listas!$B$13&lt;&gt;"OK"),"n.a.",V199*K199))</x:f>
      </x:c>
      <x:c r="X199" s="167" t="n">
        <x:f>IF(COUNTA(A199:B199,D199:G199,I199,K199,M199,Q199,AB199:AD199)=0,0,IF(OR(Listas!$B$19="Todos",B199=Listas!$B$19,COUNTIFS(Produtos!$A$5:$A$204,B199)&lt;&gt;1),1,0))</x:f>
        <x:v>0</x:v>
      </x:c>
      <x:c r="Y199" s="167" t="str">
        <x:f>IF(X199=0,"",IF(Listas!$B$13&lt;&gt;"OK","Revisar parâmetros",IF(U199&gt;0,IF(S199&lt;&gt;"",S199,IF(T199&gt;0,"Revisar movimentos",IF(AND(ISNUMBER(J199),J199&lt;0),"Saldo negativo","Status esgotado com saldo"))),IF(AG199&lt;&gt;"",AG199&amp;". ","")&amp;IF(J199&lt;=0,"",IF(N199="VENCIDO","Validade vencida. ","")&amp;IF(M199="Quarentena","Em quarentena. ","")&amp;IF(M199="Bloqueado","Lote bloqueado. ","")&amp;IF(N199="CRÍTICO","Validade crítica. ","")&amp;IF(N199="VENCE NA JANELA","Vence na janela. ","")))))</x:f>
      </x:c>
      <x:c r="Z199" s="167" t="n">
        <x:f>IF(OR(X199=0,Y199=""),0,IF(OR(Listas!$B$13&lt;&gt;"OK",U199&gt;0,AH199&gt;0),1,IF(N199="VENCIDO",2,IF(OR(M199="Quarentena",M199="Bloqueado"),3,IF(N199="CRÍTICO",4,5)))))</x:f>
        <x:v>0</x:v>
      </x:c>
      <x:c r="AA199" s="167" t="n">
        <x:f>IF(Z199=0,0,COUNTIFS($Z$5:$Z$204,"&gt;0",$Z$5:$Z$204,"&lt;"&amp;Z199,$X$5:$X$204,1)+COUNTIFS($Z$5:Z199,Z199,$X$5:X199,1))</x:f>
        <x:v>0</x:v>
      </x:c>
      <x:c r="AB199" s="168"/>
      <x:c r="AC199" s="168"/>
      <x:c r="AD199" s="169"/>
      <x:c r="AE199" s="167" t="str">
        <x:f>IF(X199=0,"",IF(OR(U199&gt;0,Listas!$B$13&lt;&gt;"OK"),"Dados pendentes",IF(J199&lt;=0,"Sem saldo",IF(N199="VENCIDO","Vencidos",IF(OR(M199="Quarentena",M199="Bloqueado"),"Restritos vigentes",IF(OR(N199="CRÍTICO",N199="VENCE NA JANELA"),"Liberados na janela","Demais liberados"))))))</x:f>
      </x:c>
      <x:c r="AF199" s="167" t="str">
        <x:f>IF(A199&lt;&gt;"",A199,IF(U199&gt;0,"Sem ID (linha "&amp;ROW()&amp;")",""))</x:f>
      </x:c>
      <x:c r="AG199" s="167" t="str">
        <x:f>IF(AD199="","",IF(OR(NOT(ISNUMBER(AD199)),AD199&lt;=0),"Prazo da ação inválido",""))</x:f>
      </x:c>
      <x:c r="AH199" s="167" t="n">
        <x:f>IF(AG199="",0,1)</x:f>
        <x:v>0</x:v>
      </x:c>
    </x:row>
    <x:row r="200" ht="32" customHeight="1">
      <x:c r="A200" s="27"/>
      <x:c r="B200" s="27"/>
      <x:c r="C200" s="40" t="str">
        <x:f>IF($B200="","",IFERROR(INDEX(Produtos!$B$5:$B$204,MATCH($B200,Produtos!$A$5:$A$204,0)),""))</x:f>
      </x:c>
      <x:c r="D200" s="170"/>
      <x:c r="E200" s="179"/>
      <x:c r="F200" s="179"/>
      <x:c r="G200" s="179"/>
      <x:c r="H200" s="40" t="str">
        <x:f>IF(A200="","",IF(OR(S200&lt;&gt;"",Listas!$B$13&lt;&gt;"OK"),"n.a.",G200-Listas!$B$6))</x:f>
      </x:c>
      <x:c r="I200" s="40"/>
      <x:c r="J200" s="40" t="str">
        <x:f>IF(A200="","",IF(OR(S200&lt;&gt;"",T200&gt;0,Listas!$B$13&lt;&gt;"OK"),"n.a.",SUMIFS(Movimentacoes!$H$5:$H$304,Movimentacoes!$D$5:$D$304,A200,Movimentacoes!$B$5:$B$304,"&lt;="&amp;Listas!$B$6)))</x:f>
      </x:c>
      <x:c r="K200" s="180"/>
      <x:c r="L200" s="181" t="str">
        <x:f>IF(A200="","",IF(OR(U200&gt;0,Listas!$B$13&lt;&gt;"OK"),"n.a.",J200*K200))</x:f>
      </x:c>
      <x:c r="M200" s="27"/>
      <x:c r="N200" s="40" t="str">
        <x:f>IF(A200="","",IF(OR(U200&gt;0,Listas!$B$13&lt;&gt;"OK"),"REVISAR DADOS",IF(J200=0,"SEM SALDO",IF(G200&lt;Listas!$B$6,"VENCIDO",IF(H200&lt;=Listas!$B$7,"CRÍTICO",IF(H200&lt;=Listas!$B$8,"VENCE NA JANELA","OK"))))))</x:f>
      </x:c>
      <x:c r="O200" s="41" t="str">
        <x:f>IF(A200="","",IF(AND(ISNUMBER(V200),V200&gt;0),G200,""))</x:f>
      </x:c>
      <x:c r="P200" s="40" t="str">
        <x:f>IF(A200="","",IF(OR(U200&gt;0,Listas!$B$13&lt;&gt;"OK"),"REVISAR DADOS",IF(J200=0,"ARQUIVAR LOTE",IF(M200="Quarentena","DECIDIR LIBERAÇÃO",IF(M200="Bloqueado","SEGREGAR E INVESTIGAR",IF(M200="Esgotado","REVISAR STATUS COM SALDO",IF(N200="VENCIDO","SEGREGAR E AVALIAR DESTINAÇÃO",IF(OR(N200="CRÍTICO",N200="VENCE NA JANELA"),"PRIORIZAR FEFO","MANTER ROTAÇÃO"))))))))</x:f>
      </x:c>
      <x:c r="Q200" s="27"/>
      <x:c r="R200" s="181" t="str">
        <x:f>IF(A200="","",IF(OR(U200&gt;0,Listas!$B$13&lt;&gt;"OK"),"n.a.",IF(OR(N200="VENCIDO",N200="CRÍTICO",N200="VENCE NA JANELA",M200="Quarentena",M200="Bloqueado"),L200,0)))</x:f>
      </x:c>
      <x:c r="S200" s="163" t="str">
        <x:f>IF(COUNTA(A200:B200,D200:G200,I200,K200,M200,Q200,AB200:AD200)=0,"",IF(OR(A200="",COUNTIFS($A$5:$A$204,A200)&lt;&gt;1),"Lote ausente ou duplicado",IF(OR(B200="",COUNTIFS(Produtos!$A$5:$A$204,B200)&lt;&gt;1),"SKU ausente ou desconhecido",IF(COUNTIFS(Produtos!$A$5:$A$204,B200,Produtos!$R$5:$R$204,1)&gt;0,"Revisar cadastro do produto",IF(OR(NOT(ISNUMBER(E200)),E200&lt;=0,NOT(ISNUMBER(G200)),G200&lt;=0,G200&lt;E200),"Recebimento ou validade inválida",IF(AND(F200&lt;&gt;"",OR(NOT(ISNUMBER(F200)),F200&lt;=0,F200&gt;E200)),"Fabricação inválida ou posterior ao recebimento",IF(OR(NOT(ISNUMBER(K200)),K200&lt;0,NOT(ISNUMBER(I200)),I200&lt;0),"Quantidade recebida ou custo inválido",IF(AND(M200&lt;&gt;"Liberado",M200&lt;&gt;"Quarentena",M200&lt;&gt;"Bloqueado",M200&lt;&gt;"Esgotado"),"Status de lote inválido",""))))))))</x:f>
      </x:c>
      <x:c r="T200" s="163" t="n">
        <x:f>IF(A200="",0,COUNTIFS(Movimentacoes!$D$5:$D$304,A200,Movimentacoes!$P$5:$P$304,1))</x:f>
        <x:v>0</x:v>
      </x:c>
      <x:c r="U200" s="163" t="n">
        <x:f>IF(COUNTA(A200:B200,D200:G200,I200,K200,M200,Q200,AB200:AD200)=0,0,IF(OR(S200&lt;&gt;"",T200&gt;0),1,IF(ISNUMBER(J200),IF(OR(J200&lt;0,AND(J200&gt;0,M200="Esgotado")),1,0),0)))</x:f>
        <x:v>0</x:v>
      </x:c>
      <x:c r="V200" s="163" t="str">
        <x:f>IF(A200="","",IF(OR(U200&gt;0,Listas!$B$13&lt;&gt;"OK"),"n.a.",IF(AND(J200&gt;0,M200="Liberado",G200&gt;=Listas!$B$6),J200,0)))</x:f>
      </x:c>
      <x:c r="W200" s="163" t="str">
        <x:f>IF(A200="","",IF(OR(U200&gt;0,Listas!$B$13&lt;&gt;"OK"),"n.a.",V200*K200))</x:f>
      </x:c>
      <x:c r="X200" s="167" t="n">
        <x:f>IF(COUNTA(A200:B200,D200:G200,I200,K200,M200,Q200,AB200:AD200)=0,0,IF(OR(Listas!$B$19="Todos",B200=Listas!$B$19,COUNTIFS(Produtos!$A$5:$A$204,B200)&lt;&gt;1),1,0))</x:f>
        <x:v>0</x:v>
      </x:c>
      <x:c r="Y200" s="167" t="str">
        <x:f>IF(X200=0,"",IF(Listas!$B$13&lt;&gt;"OK","Revisar parâmetros",IF(U200&gt;0,IF(S200&lt;&gt;"",S200,IF(T200&gt;0,"Revisar movimentos",IF(AND(ISNUMBER(J200),J200&lt;0),"Saldo negativo","Status esgotado com saldo"))),IF(AG200&lt;&gt;"",AG200&amp;". ","")&amp;IF(J200&lt;=0,"",IF(N200="VENCIDO","Validade vencida. ","")&amp;IF(M200="Quarentena","Em quarentena. ","")&amp;IF(M200="Bloqueado","Lote bloqueado. ","")&amp;IF(N200="CRÍTICO","Validade crítica. ","")&amp;IF(N200="VENCE NA JANELA","Vence na janela. ","")))))</x:f>
      </x:c>
      <x:c r="Z200" s="167" t="n">
        <x:f>IF(OR(X200=0,Y200=""),0,IF(OR(Listas!$B$13&lt;&gt;"OK",U200&gt;0,AH200&gt;0),1,IF(N200="VENCIDO",2,IF(OR(M200="Quarentena",M200="Bloqueado"),3,IF(N200="CRÍTICO",4,5)))))</x:f>
        <x:v>0</x:v>
      </x:c>
      <x:c r="AA200" s="167" t="n">
        <x:f>IF(Z200=0,0,COUNTIFS($Z$5:$Z$204,"&gt;0",$Z$5:$Z$204,"&lt;"&amp;Z200,$X$5:$X$204,1)+COUNTIFS($Z$5:Z200,Z200,$X$5:X200,1))</x:f>
        <x:v>0</x:v>
      </x:c>
      <x:c r="AB200" s="168"/>
      <x:c r="AC200" s="168"/>
      <x:c r="AD200" s="169"/>
      <x:c r="AE200" s="167" t="str">
        <x:f>IF(X200=0,"",IF(OR(U200&gt;0,Listas!$B$13&lt;&gt;"OK"),"Dados pendentes",IF(J200&lt;=0,"Sem saldo",IF(N200="VENCIDO","Vencidos",IF(OR(M200="Quarentena",M200="Bloqueado"),"Restritos vigentes",IF(OR(N200="CRÍTICO",N200="VENCE NA JANELA"),"Liberados na janela","Demais liberados"))))))</x:f>
      </x:c>
      <x:c r="AF200" s="167" t="str">
        <x:f>IF(A200&lt;&gt;"",A200,IF(U200&gt;0,"Sem ID (linha "&amp;ROW()&amp;")",""))</x:f>
      </x:c>
      <x:c r="AG200" s="167" t="str">
        <x:f>IF(AD200="","",IF(OR(NOT(ISNUMBER(AD200)),AD200&lt;=0),"Prazo da ação inválido",""))</x:f>
      </x:c>
      <x:c r="AH200" s="167" t="n">
        <x:f>IF(AG200="",0,1)</x:f>
        <x:v>0</x:v>
      </x:c>
    </x:row>
    <x:row r="201" ht="32" customHeight="1">
      <x:c r="A201" s="27"/>
      <x:c r="B201" s="27"/>
      <x:c r="C201" s="40" t="str">
        <x:f>IF($B201="","",IFERROR(INDEX(Produtos!$B$5:$B$204,MATCH($B201,Produtos!$A$5:$A$204,0)),""))</x:f>
      </x:c>
      <x:c r="D201" s="170"/>
      <x:c r="E201" s="179"/>
      <x:c r="F201" s="179"/>
      <x:c r="G201" s="179"/>
      <x:c r="H201" s="40" t="str">
        <x:f>IF(A201="","",IF(OR(S201&lt;&gt;"",Listas!$B$13&lt;&gt;"OK"),"n.a.",G201-Listas!$B$6))</x:f>
      </x:c>
      <x:c r="I201" s="40"/>
      <x:c r="J201" s="40" t="str">
        <x:f>IF(A201="","",IF(OR(S201&lt;&gt;"",T201&gt;0,Listas!$B$13&lt;&gt;"OK"),"n.a.",SUMIFS(Movimentacoes!$H$5:$H$304,Movimentacoes!$D$5:$D$304,A201,Movimentacoes!$B$5:$B$304,"&lt;="&amp;Listas!$B$6)))</x:f>
      </x:c>
      <x:c r="K201" s="180"/>
      <x:c r="L201" s="181" t="str">
        <x:f>IF(A201="","",IF(OR(U201&gt;0,Listas!$B$13&lt;&gt;"OK"),"n.a.",J201*K201))</x:f>
      </x:c>
      <x:c r="M201" s="27"/>
      <x:c r="N201" s="40" t="str">
        <x:f>IF(A201="","",IF(OR(U201&gt;0,Listas!$B$13&lt;&gt;"OK"),"REVISAR DADOS",IF(J201=0,"SEM SALDO",IF(G201&lt;Listas!$B$6,"VENCIDO",IF(H201&lt;=Listas!$B$7,"CRÍTICO",IF(H201&lt;=Listas!$B$8,"VENCE NA JANELA","OK"))))))</x:f>
      </x:c>
      <x:c r="O201" s="41" t="str">
        <x:f>IF(A201="","",IF(AND(ISNUMBER(V201),V201&gt;0),G201,""))</x:f>
      </x:c>
      <x:c r="P201" s="40" t="str">
        <x:f>IF(A201="","",IF(OR(U201&gt;0,Listas!$B$13&lt;&gt;"OK"),"REVISAR DADOS",IF(J201=0,"ARQUIVAR LOTE",IF(M201="Quarentena","DECIDIR LIBERAÇÃO",IF(M201="Bloqueado","SEGREGAR E INVESTIGAR",IF(M201="Esgotado","REVISAR STATUS COM SALDO",IF(N201="VENCIDO","SEGREGAR E AVALIAR DESTINAÇÃO",IF(OR(N201="CRÍTICO",N201="VENCE NA JANELA"),"PRIORIZAR FEFO","MANTER ROTAÇÃO"))))))))</x:f>
      </x:c>
      <x:c r="Q201" s="27"/>
      <x:c r="R201" s="181" t="str">
        <x:f>IF(A201="","",IF(OR(U201&gt;0,Listas!$B$13&lt;&gt;"OK"),"n.a.",IF(OR(N201="VENCIDO",N201="CRÍTICO",N201="VENCE NA JANELA",M201="Quarentena",M201="Bloqueado"),L201,0)))</x:f>
      </x:c>
      <x:c r="S201" s="163" t="str">
        <x:f>IF(COUNTA(A201:B201,D201:G201,I201,K201,M201,Q201,AB201:AD201)=0,"",IF(OR(A201="",COUNTIFS($A$5:$A$204,A201)&lt;&gt;1),"Lote ausente ou duplicado",IF(OR(B201="",COUNTIFS(Produtos!$A$5:$A$204,B201)&lt;&gt;1),"SKU ausente ou desconhecido",IF(COUNTIFS(Produtos!$A$5:$A$204,B201,Produtos!$R$5:$R$204,1)&gt;0,"Revisar cadastro do produto",IF(OR(NOT(ISNUMBER(E201)),E201&lt;=0,NOT(ISNUMBER(G201)),G201&lt;=0,G201&lt;E201),"Recebimento ou validade inválida",IF(AND(F201&lt;&gt;"",OR(NOT(ISNUMBER(F201)),F201&lt;=0,F201&gt;E201)),"Fabricação inválida ou posterior ao recebimento",IF(OR(NOT(ISNUMBER(K201)),K201&lt;0,NOT(ISNUMBER(I201)),I201&lt;0),"Quantidade recebida ou custo inválido",IF(AND(M201&lt;&gt;"Liberado",M201&lt;&gt;"Quarentena",M201&lt;&gt;"Bloqueado",M201&lt;&gt;"Esgotado"),"Status de lote inválido",""))))))))</x:f>
      </x:c>
      <x:c r="T201" s="163" t="n">
        <x:f>IF(A201="",0,COUNTIFS(Movimentacoes!$D$5:$D$304,A201,Movimentacoes!$P$5:$P$304,1))</x:f>
        <x:v>0</x:v>
      </x:c>
      <x:c r="U201" s="163" t="n">
        <x:f>IF(COUNTA(A201:B201,D201:G201,I201,K201,M201,Q201,AB201:AD201)=0,0,IF(OR(S201&lt;&gt;"",T201&gt;0),1,IF(ISNUMBER(J201),IF(OR(J201&lt;0,AND(J201&gt;0,M201="Esgotado")),1,0),0)))</x:f>
        <x:v>0</x:v>
      </x:c>
      <x:c r="V201" s="163" t="str">
        <x:f>IF(A201="","",IF(OR(U201&gt;0,Listas!$B$13&lt;&gt;"OK"),"n.a.",IF(AND(J201&gt;0,M201="Liberado",G201&gt;=Listas!$B$6),J201,0)))</x:f>
      </x:c>
      <x:c r="W201" s="163" t="str">
        <x:f>IF(A201="","",IF(OR(U201&gt;0,Listas!$B$13&lt;&gt;"OK"),"n.a.",V201*K201))</x:f>
      </x:c>
      <x:c r="X201" s="167" t="n">
        <x:f>IF(COUNTA(A201:B201,D201:G201,I201,K201,M201,Q201,AB201:AD201)=0,0,IF(OR(Listas!$B$19="Todos",B201=Listas!$B$19,COUNTIFS(Produtos!$A$5:$A$204,B201)&lt;&gt;1),1,0))</x:f>
        <x:v>0</x:v>
      </x:c>
      <x:c r="Y201" s="167" t="str">
        <x:f>IF(X201=0,"",IF(Listas!$B$13&lt;&gt;"OK","Revisar parâmetros",IF(U201&gt;0,IF(S201&lt;&gt;"",S201,IF(T201&gt;0,"Revisar movimentos",IF(AND(ISNUMBER(J201),J201&lt;0),"Saldo negativo","Status esgotado com saldo"))),IF(AG201&lt;&gt;"",AG201&amp;". ","")&amp;IF(J201&lt;=0,"",IF(N201="VENCIDO","Validade vencida. ","")&amp;IF(M201="Quarentena","Em quarentena. ","")&amp;IF(M201="Bloqueado","Lote bloqueado. ","")&amp;IF(N201="CRÍTICO","Validade crítica. ","")&amp;IF(N201="VENCE NA JANELA","Vence na janela. ","")))))</x:f>
      </x:c>
      <x:c r="Z201" s="167" t="n">
        <x:f>IF(OR(X201=0,Y201=""),0,IF(OR(Listas!$B$13&lt;&gt;"OK",U201&gt;0,AH201&gt;0),1,IF(N201="VENCIDO",2,IF(OR(M201="Quarentena",M201="Bloqueado"),3,IF(N201="CRÍTICO",4,5)))))</x:f>
        <x:v>0</x:v>
      </x:c>
      <x:c r="AA201" s="167" t="n">
        <x:f>IF(Z201=0,0,COUNTIFS($Z$5:$Z$204,"&gt;0",$Z$5:$Z$204,"&lt;"&amp;Z201,$X$5:$X$204,1)+COUNTIFS($Z$5:Z201,Z201,$X$5:X201,1))</x:f>
        <x:v>0</x:v>
      </x:c>
      <x:c r="AB201" s="168"/>
      <x:c r="AC201" s="168"/>
      <x:c r="AD201" s="169"/>
      <x:c r="AE201" s="167" t="str">
        <x:f>IF(X201=0,"",IF(OR(U201&gt;0,Listas!$B$13&lt;&gt;"OK"),"Dados pendentes",IF(J201&lt;=0,"Sem saldo",IF(N201="VENCIDO","Vencidos",IF(OR(M201="Quarentena",M201="Bloqueado"),"Restritos vigentes",IF(OR(N201="CRÍTICO",N201="VENCE NA JANELA"),"Liberados na janela","Demais liberados"))))))</x:f>
      </x:c>
      <x:c r="AF201" s="167" t="str">
        <x:f>IF(A201&lt;&gt;"",A201,IF(U201&gt;0,"Sem ID (linha "&amp;ROW()&amp;")",""))</x:f>
      </x:c>
      <x:c r="AG201" s="167" t="str">
        <x:f>IF(AD201="","",IF(OR(NOT(ISNUMBER(AD201)),AD201&lt;=0),"Prazo da ação inválido",""))</x:f>
      </x:c>
      <x:c r="AH201" s="167" t="n">
        <x:f>IF(AG201="",0,1)</x:f>
        <x:v>0</x:v>
      </x:c>
    </x:row>
    <x:row r="202" ht="32" customHeight="1">
      <x:c r="A202" s="27"/>
      <x:c r="B202" s="27"/>
      <x:c r="C202" s="40" t="str">
        <x:f>IF($B202="","",IFERROR(INDEX(Produtos!$B$5:$B$204,MATCH($B202,Produtos!$A$5:$A$204,0)),""))</x:f>
      </x:c>
      <x:c r="D202" s="170"/>
      <x:c r="E202" s="179"/>
      <x:c r="F202" s="179"/>
      <x:c r="G202" s="179"/>
      <x:c r="H202" s="40" t="str">
        <x:f>IF(A202="","",IF(OR(S202&lt;&gt;"",Listas!$B$13&lt;&gt;"OK"),"n.a.",G202-Listas!$B$6))</x:f>
      </x:c>
      <x:c r="I202" s="40"/>
      <x:c r="J202" s="40" t="str">
        <x:f>IF(A202="","",IF(OR(S202&lt;&gt;"",T202&gt;0,Listas!$B$13&lt;&gt;"OK"),"n.a.",SUMIFS(Movimentacoes!$H$5:$H$304,Movimentacoes!$D$5:$D$304,A202,Movimentacoes!$B$5:$B$304,"&lt;="&amp;Listas!$B$6)))</x:f>
      </x:c>
      <x:c r="K202" s="180"/>
      <x:c r="L202" s="181" t="str">
        <x:f>IF(A202="","",IF(OR(U202&gt;0,Listas!$B$13&lt;&gt;"OK"),"n.a.",J202*K202))</x:f>
      </x:c>
      <x:c r="M202" s="27"/>
      <x:c r="N202" s="40" t="str">
        <x:f>IF(A202="","",IF(OR(U202&gt;0,Listas!$B$13&lt;&gt;"OK"),"REVISAR DADOS",IF(J202=0,"SEM SALDO",IF(G202&lt;Listas!$B$6,"VENCIDO",IF(H202&lt;=Listas!$B$7,"CRÍTICO",IF(H202&lt;=Listas!$B$8,"VENCE NA JANELA","OK"))))))</x:f>
      </x:c>
      <x:c r="O202" s="41" t="str">
        <x:f>IF(A202="","",IF(AND(ISNUMBER(V202),V202&gt;0),G202,""))</x:f>
      </x:c>
      <x:c r="P202" s="40" t="str">
        <x:f>IF(A202="","",IF(OR(U202&gt;0,Listas!$B$13&lt;&gt;"OK"),"REVISAR DADOS",IF(J202=0,"ARQUIVAR LOTE",IF(M202="Quarentena","DECIDIR LIBERAÇÃO",IF(M202="Bloqueado","SEGREGAR E INVESTIGAR",IF(M202="Esgotado","REVISAR STATUS COM SALDO",IF(N202="VENCIDO","SEGREGAR E AVALIAR DESTINAÇÃO",IF(OR(N202="CRÍTICO",N202="VENCE NA JANELA"),"PRIORIZAR FEFO","MANTER ROTAÇÃO"))))))))</x:f>
      </x:c>
      <x:c r="Q202" s="27"/>
      <x:c r="R202" s="181" t="str">
        <x:f>IF(A202="","",IF(OR(U202&gt;0,Listas!$B$13&lt;&gt;"OK"),"n.a.",IF(OR(N202="VENCIDO",N202="CRÍTICO",N202="VENCE NA JANELA",M202="Quarentena",M202="Bloqueado"),L202,0)))</x:f>
      </x:c>
      <x:c r="S202" s="163" t="str">
        <x:f>IF(COUNTA(A202:B202,D202:G202,I202,K202,M202,Q202,AB202:AD202)=0,"",IF(OR(A202="",COUNTIFS($A$5:$A$204,A202)&lt;&gt;1),"Lote ausente ou duplicado",IF(OR(B202="",COUNTIFS(Produtos!$A$5:$A$204,B202)&lt;&gt;1),"SKU ausente ou desconhecido",IF(COUNTIFS(Produtos!$A$5:$A$204,B202,Produtos!$R$5:$R$204,1)&gt;0,"Revisar cadastro do produto",IF(OR(NOT(ISNUMBER(E202)),E202&lt;=0,NOT(ISNUMBER(G202)),G202&lt;=0,G202&lt;E202),"Recebimento ou validade inválida",IF(AND(F202&lt;&gt;"",OR(NOT(ISNUMBER(F202)),F202&lt;=0,F202&gt;E202)),"Fabricação inválida ou posterior ao recebimento",IF(OR(NOT(ISNUMBER(K202)),K202&lt;0,NOT(ISNUMBER(I202)),I202&lt;0),"Quantidade recebida ou custo inválido",IF(AND(M202&lt;&gt;"Liberado",M202&lt;&gt;"Quarentena",M202&lt;&gt;"Bloqueado",M202&lt;&gt;"Esgotado"),"Status de lote inválido",""))))))))</x:f>
      </x:c>
      <x:c r="T202" s="163" t="n">
        <x:f>IF(A202="",0,COUNTIFS(Movimentacoes!$D$5:$D$304,A202,Movimentacoes!$P$5:$P$304,1))</x:f>
        <x:v>0</x:v>
      </x:c>
      <x:c r="U202" s="163" t="n">
        <x:f>IF(COUNTA(A202:B202,D202:G202,I202,K202,M202,Q202,AB202:AD202)=0,0,IF(OR(S202&lt;&gt;"",T202&gt;0),1,IF(ISNUMBER(J202),IF(OR(J202&lt;0,AND(J202&gt;0,M202="Esgotado")),1,0),0)))</x:f>
        <x:v>0</x:v>
      </x:c>
      <x:c r="V202" s="163" t="str">
        <x:f>IF(A202="","",IF(OR(U202&gt;0,Listas!$B$13&lt;&gt;"OK"),"n.a.",IF(AND(J202&gt;0,M202="Liberado",G202&gt;=Listas!$B$6),J202,0)))</x:f>
      </x:c>
      <x:c r="W202" s="163" t="str">
        <x:f>IF(A202="","",IF(OR(U202&gt;0,Listas!$B$13&lt;&gt;"OK"),"n.a.",V202*K202))</x:f>
      </x:c>
      <x:c r="X202" s="167" t="n">
        <x:f>IF(COUNTA(A202:B202,D202:G202,I202,K202,M202,Q202,AB202:AD202)=0,0,IF(OR(Listas!$B$19="Todos",B202=Listas!$B$19,COUNTIFS(Produtos!$A$5:$A$204,B202)&lt;&gt;1),1,0))</x:f>
        <x:v>0</x:v>
      </x:c>
      <x:c r="Y202" s="167" t="str">
        <x:f>IF(X202=0,"",IF(Listas!$B$13&lt;&gt;"OK","Revisar parâmetros",IF(U202&gt;0,IF(S202&lt;&gt;"",S202,IF(T202&gt;0,"Revisar movimentos",IF(AND(ISNUMBER(J202),J202&lt;0),"Saldo negativo","Status esgotado com saldo"))),IF(AG202&lt;&gt;"",AG202&amp;". ","")&amp;IF(J202&lt;=0,"",IF(N202="VENCIDO","Validade vencida. ","")&amp;IF(M202="Quarentena","Em quarentena. ","")&amp;IF(M202="Bloqueado","Lote bloqueado. ","")&amp;IF(N202="CRÍTICO","Validade crítica. ","")&amp;IF(N202="VENCE NA JANELA","Vence na janela. ","")))))</x:f>
      </x:c>
      <x:c r="Z202" s="167" t="n">
        <x:f>IF(OR(X202=0,Y202=""),0,IF(OR(Listas!$B$13&lt;&gt;"OK",U202&gt;0,AH202&gt;0),1,IF(N202="VENCIDO",2,IF(OR(M202="Quarentena",M202="Bloqueado"),3,IF(N202="CRÍTICO",4,5)))))</x:f>
        <x:v>0</x:v>
      </x:c>
      <x:c r="AA202" s="167" t="n">
        <x:f>IF(Z202=0,0,COUNTIFS($Z$5:$Z$204,"&gt;0",$Z$5:$Z$204,"&lt;"&amp;Z202,$X$5:$X$204,1)+COUNTIFS($Z$5:Z202,Z202,$X$5:X202,1))</x:f>
        <x:v>0</x:v>
      </x:c>
      <x:c r="AB202" s="168"/>
      <x:c r="AC202" s="168"/>
      <x:c r="AD202" s="169"/>
      <x:c r="AE202" s="167" t="str">
        <x:f>IF(X202=0,"",IF(OR(U202&gt;0,Listas!$B$13&lt;&gt;"OK"),"Dados pendentes",IF(J202&lt;=0,"Sem saldo",IF(N202="VENCIDO","Vencidos",IF(OR(M202="Quarentena",M202="Bloqueado"),"Restritos vigentes",IF(OR(N202="CRÍTICO",N202="VENCE NA JANELA"),"Liberados na janela","Demais liberados"))))))</x:f>
      </x:c>
      <x:c r="AF202" s="167" t="str">
        <x:f>IF(A202&lt;&gt;"",A202,IF(U202&gt;0,"Sem ID (linha "&amp;ROW()&amp;")",""))</x:f>
      </x:c>
      <x:c r="AG202" s="167" t="str">
        <x:f>IF(AD202="","",IF(OR(NOT(ISNUMBER(AD202)),AD202&lt;=0),"Prazo da ação inválido",""))</x:f>
      </x:c>
      <x:c r="AH202" s="167" t="n">
        <x:f>IF(AG202="",0,1)</x:f>
        <x:v>0</x:v>
      </x:c>
    </x:row>
    <x:row r="203" ht="32" customHeight="1">
      <x:c r="A203" s="27"/>
      <x:c r="B203" s="27"/>
      <x:c r="C203" s="40" t="str">
        <x:f>IF($B203="","",IFERROR(INDEX(Produtos!$B$5:$B$204,MATCH($B203,Produtos!$A$5:$A$204,0)),""))</x:f>
      </x:c>
      <x:c r="D203" s="170"/>
      <x:c r="E203" s="179"/>
      <x:c r="F203" s="179"/>
      <x:c r="G203" s="179"/>
      <x:c r="H203" s="40" t="str">
        <x:f>IF(A203="","",IF(OR(S203&lt;&gt;"",Listas!$B$13&lt;&gt;"OK"),"n.a.",G203-Listas!$B$6))</x:f>
      </x:c>
      <x:c r="I203" s="40"/>
      <x:c r="J203" s="40" t="str">
        <x:f>IF(A203="","",IF(OR(S203&lt;&gt;"",T203&gt;0,Listas!$B$13&lt;&gt;"OK"),"n.a.",SUMIFS(Movimentacoes!$H$5:$H$304,Movimentacoes!$D$5:$D$304,A203,Movimentacoes!$B$5:$B$304,"&lt;="&amp;Listas!$B$6)))</x:f>
      </x:c>
      <x:c r="K203" s="180"/>
      <x:c r="L203" s="181" t="str">
        <x:f>IF(A203="","",IF(OR(U203&gt;0,Listas!$B$13&lt;&gt;"OK"),"n.a.",J203*K203))</x:f>
      </x:c>
      <x:c r="M203" s="27"/>
      <x:c r="N203" s="40" t="str">
        <x:f>IF(A203="","",IF(OR(U203&gt;0,Listas!$B$13&lt;&gt;"OK"),"REVISAR DADOS",IF(J203=0,"SEM SALDO",IF(G203&lt;Listas!$B$6,"VENCIDO",IF(H203&lt;=Listas!$B$7,"CRÍTICO",IF(H203&lt;=Listas!$B$8,"VENCE NA JANELA","OK"))))))</x:f>
      </x:c>
      <x:c r="O203" s="41" t="str">
        <x:f>IF(A203="","",IF(AND(ISNUMBER(V203),V203&gt;0),G203,""))</x:f>
      </x:c>
      <x:c r="P203" s="40" t="str">
        <x:f>IF(A203="","",IF(OR(U203&gt;0,Listas!$B$13&lt;&gt;"OK"),"REVISAR DADOS",IF(J203=0,"ARQUIVAR LOTE",IF(M203="Quarentena","DECIDIR LIBERAÇÃO",IF(M203="Bloqueado","SEGREGAR E INVESTIGAR",IF(M203="Esgotado","REVISAR STATUS COM SALDO",IF(N203="VENCIDO","SEGREGAR E AVALIAR DESTINAÇÃO",IF(OR(N203="CRÍTICO",N203="VENCE NA JANELA"),"PRIORIZAR FEFO","MANTER ROTAÇÃO"))))))))</x:f>
      </x:c>
      <x:c r="Q203" s="27"/>
      <x:c r="R203" s="181" t="str">
        <x:f>IF(A203="","",IF(OR(U203&gt;0,Listas!$B$13&lt;&gt;"OK"),"n.a.",IF(OR(N203="VENCIDO",N203="CRÍTICO",N203="VENCE NA JANELA",M203="Quarentena",M203="Bloqueado"),L203,0)))</x:f>
      </x:c>
      <x:c r="S203" s="163" t="str">
        <x:f>IF(COUNTA(A203:B203,D203:G203,I203,K203,M203,Q203,AB203:AD203)=0,"",IF(OR(A203="",COUNTIFS($A$5:$A$204,A203)&lt;&gt;1),"Lote ausente ou duplicado",IF(OR(B203="",COUNTIFS(Produtos!$A$5:$A$204,B203)&lt;&gt;1),"SKU ausente ou desconhecido",IF(COUNTIFS(Produtos!$A$5:$A$204,B203,Produtos!$R$5:$R$204,1)&gt;0,"Revisar cadastro do produto",IF(OR(NOT(ISNUMBER(E203)),E203&lt;=0,NOT(ISNUMBER(G203)),G203&lt;=0,G203&lt;E203),"Recebimento ou validade inválida",IF(AND(F203&lt;&gt;"",OR(NOT(ISNUMBER(F203)),F203&lt;=0,F203&gt;E203)),"Fabricação inválida ou posterior ao recebimento",IF(OR(NOT(ISNUMBER(K203)),K203&lt;0,NOT(ISNUMBER(I203)),I203&lt;0),"Quantidade recebida ou custo inválido",IF(AND(M203&lt;&gt;"Liberado",M203&lt;&gt;"Quarentena",M203&lt;&gt;"Bloqueado",M203&lt;&gt;"Esgotado"),"Status de lote inválido",""))))))))</x:f>
      </x:c>
      <x:c r="T203" s="163" t="n">
        <x:f>IF(A203="",0,COUNTIFS(Movimentacoes!$D$5:$D$304,A203,Movimentacoes!$P$5:$P$304,1))</x:f>
        <x:v>0</x:v>
      </x:c>
      <x:c r="U203" s="163" t="n">
        <x:f>IF(COUNTA(A203:B203,D203:G203,I203,K203,M203,Q203,AB203:AD203)=0,0,IF(OR(S203&lt;&gt;"",T203&gt;0),1,IF(ISNUMBER(J203),IF(OR(J203&lt;0,AND(J203&gt;0,M203="Esgotado")),1,0),0)))</x:f>
        <x:v>0</x:v>
      </x:c>
      <x:c r="V203" s="163" t="str">
        <x:f>IF(A203="","",IF(OR(U203&gt;0,Listas!$B$13&lt;&gt;"OK"),"n.a.",IF(AND(J203&gt;0,M203="Liberado",G203&gt;=Listas!$B$6),J203,0)))</x:f>
      </x:c>
      <x:c r="W203" s="163" t="str">
        <x:f>IF(A203="","",IF(OR(U203&gt;0,Listas!$B$13&lt;&gt;"OK"),"n.a.",V203*K203))</x:f>
      </x:c>
      <x:c r="X203" s="167" t="n">
        <x:f>IF(COUNTA(A203:B203,D203:G203,I203,K203,M203,Q203,AB203:AD203)=0,0,IF(OR(Listas!$B$19="Todos",B203=Listas!$B$19,COUNTIFS(Produtos!$A$5:$A$204,B203)&lt;&gt;1),1,0))</x:f>
        <x:v>0</x:v>
      </x:c>
      <x:c r="Y203" s="167" t="str">
        <x:f>IF(X203=0,"",IF(Listas!$B$13&lt;&gt;"OK","Revisar parâmetros",IF(U203&gt;0,IF(S203&lt;&gt;"",S203,IF(T203&gt;0,"Revisar movimentos",IF(AND(ISNUMBER(J203),J203&lt;0),"Saldo negativo","Status esgotado com saldo"))),IF(AG203&lt;&gt;"",AG203&amp;". ","")&amp;IF(J203&lt;=0,"",IF(N203="VENCIDO","Validade vencida. ","")&amp;IF(M203="Quarentena","Em quarentena. ","")&amp;IF(M203="Bloqueado","Lote bloqueado. ","")&amp;IF(N203="CRÍTICO","Validade crítica. ","")&amp;IF(N203="VENCE NA JANELA","Vence na janela. ","")))))</x:f>
      </x:c>
      <x:c r="Z203" s="167" t="n">
        <x:f>IF(OR(X203=0,Y203=""),0,IF(OR(Listas!$B$13&lt;&gt;"OK",U203&gt;0,AH203&gt;0),1,IF(N203="VENCIDO",2,IF(OR(M203="Quarentena",M203="Bloqueado"),3,IF(N203="CRÍTICO",4,5)))))</x:f>
        <x:v>0</x:v>
      </x:c>
      <x:c r="AA203" s="167" t="n">
        <x:f>IF(Z203=0,0,COUNTIFS($Z$5:$Z$204,"&gt;0",$Z$5:$Z$204,"&lt;"&amp;Z203,$X$5:$X$204,1)+COUNTIFS($Z$5:Z203,Z203,$X$5:X203,1))</x:f>
        <x:v>0</x:v>
      </x:c>
      <x:c r="AB203" s="168"/>
      <x:c r="AC203" s="168"/>
      <x:c r="AD203" s="169"/>
      <x:c r="AE203" s="167" t="str">
        <x:f>IF(X203=0,"",IF(OR(U203&gt;0,Listas!$B$13&lt;&gt;"OK"),"Dados pendentes",IF(J203&lt;=0,"Sem saldo",IF(N203="VENCIDO","Vencidos",IF(OR(M203="Quarentena",M203="Bloqueado"),"Restritos vigentes",IF(OR(N203="CRÍTICO",N203="VENCE NA JANELA"),"Liberados na janela","Demais liberados"))))))</x:f>
      </x:c>
      <x:c r="AF203" s="167" t="str">
        <x:f>IF(A203&lt;&gt;"",A203,IF(U203&gt;0,"Sem ID (linha "&amp;ROW()&amp;")",""))</x:f>
      </x:c>
      <x:c r="AG203" s="167" t="str">
        <x:f>IF(AD203="","",IF(OR(NOT(ISNUMBER(AD203)),AD203&lt;=0),"Prazo da ação inválido",""))</x:f>
      </x:c>
      <x:c r="AH203" s="167" t="n">
        <x:f>IF(AG203="",0,1)</x:f>
        <x:v>0</x:v>
      </x:c>
    </x:row>
    <x:row r="204" ht="32" customHeight="1">
      <x:c r="A204" s="27"/>
      <x:c r="B204" s="27"/>
      <x:c r="C204" s="40" t="str">
        <x:f>IF($B204="","",IFERROR(INDEX(Produtos!$B$5:$B$204,MATCH($B204,Produtos!$A$5:$A$204,0)),""))</x:f>
      </x:c>
      <x:c r="D204" s="170"/>
      <x:c r="E204" s="179"/>
      <x:c r="F204" s="179"/>
      <x:c r="G204" s="179"/>
      <x:c r="H204" s="40" t="str">
        <x:f>IF(A204="","",IF(OR(S204&lt;&gt;"",Listas!$B$13&lt;&gt;"OK"),"n.a.",G204-Listas!$B$6))</x:f>
      </x:c>
      <x:c r="I204" s="40"/>
      <x:c r="J204" s="40" t="str">
        <x:f>IF(A204="","",IF(OR(S204&lt;&gt;"",T204&gt;0,Listas!$B$13&lt;&gt;"OK"),"n.a.",SUMIFS(Movimentacoes!$H$5:$H$304,Movimentacoes!$D$5:$D$304,A204,Movimentacoes!$B$5:$B$304,"&lt;="&amp;Listas!$B$6)))</x:f>
      </x:c>
      <x:c r="K204" s="180"/>
      <x:c r="L204" s="181" t="str">
        <x:f>IF(A204="","",IF(OR(U204&gt;0,Listas!$B$13&lt;&gt;"OK"),"n.a.",J204*K204))</x:f>
      </x:c>
      <x:c r="M204" s="27"/>
      <x:c r="N204" s="40" t="str">
        <x:f>IF(A204="","",IF(OR(U204&gt;0,Listas!$B$13&lt;&gt;"OK"),"REVISAR DADOS",IF(J204=0,"SEM SALDO",IF(G204&lt;Listas!$B$6,"VENCIDO",IF(H204&lt;=Listas!$B$7,"CRÍTICO",IF(H204&lt;=Listas!$B$8,"VENCE NA JANELA","OK"))))))</x:f>
      </x:c>
      <x:c r="O204" s="41" t="str">
        <x:f>IF(A204="","",IF(AND(ISNUMBER(V204),V204&gt;0),G204,""))</x:f>
      </x:c>
      <x:c r="P204" s="40" t="str">
        <x:f>IF(A204="","",IF(OR(U204&gt;0,Listas!$B$13&lt;&gt;"OK"),"REVISAR DADOS",IF(J204=0,"ARQUIVAR LOTE",IF(M204="Quarentena","DECIDIR LIBERAÇÃO",IF(M204="Bloqueado","SEGREGAR E INVESTIGAR",IF(M204="Esgotado","REVISAR STATUS COM SALDO",IF(N204="VENCIDO","SEGREGAR E AVALIAR DESTINAÇÃO",IF(OR(N204="CRÍTICO",N204="VENCE NA JANELA"),"PRIORIZAR FEFO","MANTER ROTAÇÃO"))))))))</x:f>
      </x:c>
      <x:c r="Q204" s="27"/>
      <x:c r="R204" s="181" t="str">
        <x:f>IF(A204="","",IF(OR(U204&gt;0,Listas!$B$13&lt;&gt;"OK"),"n.a.",IF(OR(N204="VENCIDO",N204="CRÍTICO",N204="VENCE NA JANELA",M204="Quarentena",M204="Bloqueado"),L204,0)))</x:f>
      </x:c>
      <x:c r="S204" s="163" t="str">
        <x:f>IF(COUNTA(A204:B204,D204:G204,I204,K204,M204,Q204,AB204:AD204)=0,"",IF(OR(A204="",COUNTIFS($A$5:$A$204,A204)&lt;&gt;1),"Lote ausente ou duplicado",IF(OR(B204="",COUNTIFS(Produtos!$A$5:$A$204,B204)&lt;&gt;1),"SKU ausente ou desconhecido",IF(COUNTIFS(Produtos!$A$5:$A$204,B204,Produtos!$R$5:$R$204,1)&gt;0,"Revisar cadastro do produto",IF(OR(NOT(ISNUMBER(E204)),E204&lt;=0,NOT(ISNUMBER(G204)),G204&lt;=0,G204&lt;E204),"Recebimento ou validade inválida",IF(AND(F204&lt;&gt;"",OR(NOT(ISNUMBER(F204)),F204&lt;=0,F204&gt;E204)),"Fabricação inválida ou posterior ao recebimento",IF(OR(NOT(ISNUMBER(K204)),K204&lt;0,NOT(ISNUMBER(I204)),I204&lt;0),"Quantidade recebida ou custo inválido",IF(AND(M204&lt;&gt;"Liberado",M204&lt;&gt;"Quarentena",M204&lt;&gt;"Bloqueado",M204&lt;&gt;"Esgotado"),"Status de lote inválido",""))))))))</x:f>
      </x:c>
      <x:c r="T204" s="163" t="n">
        <x:f>IF(A204="",0,COUNTIFS(Movimentacoes!$D$5:$D$304,A204,Movimentacoes!$P$5:$P$304,1))</x:f>
        <x:v>0</x:v>
      </x:c>
      <x:c r="U204" s="163" t="n">
        <x:f>IF(COUNTA(A204:B204,D204:G204,I204,K204,M204,Q204,AB204:AD204)=0,0,IF(OR(S204&lt;&gt;"",T204&gt;0),1,IF(ISNUMBER(J204),IF(OR(J204&lt;0,AND(J204&gt;0,M204="Esgotado")),1,0),0)))</x:f>
        <x:v>0</x:v>
      </x:c>
      <x:c r="V204" s="163" t="str">
        <x:f>IF(A204="","",IF(OR(U204&gt;0,Listas!$B$13&lt;&gt;"OK"),"n.a.",IF(AND(J204&gt;0,M204="Liberado",G204&gt;=Listas!$B$6),J204,0)))</x:f>
      </x:c>
      <x:c r="W204" s="163" t="str">
        <x:f>IF(A204="","",IF(OR(U204&gt;0,Listas!$B$13&lt;&gt;"OK"),"n.a.",V204*K204))</x:f>
      </x:c>
      <x:c r="X204" s="167" t="n">
        <x:f>IF(COUNTA(A204:B204,D204:G204,I204,K204,M204,Q204,AB204:AD204)=0,0,IF(OR(Listas!$B$19="Todos",B204=Listas!$B$19,COUNTIFS(Produtos!$A$5:$A$204,B204)&lt;&gt;1),1,0))</x:f>
        <x:v>0</x:v>
      </x:c>
      <x:c r="Y204" s="167" t="str">
        <x:f>IF(X204=0,"",IF(Listas!$B$13&lt;&gt;"OK","Revisar parâmetros",IF(U204&gt;0,IF(S204&lt;&gt;"",S204,IF(T204&gt;0,"Revisar movimentos",IF(AND(ISNUMBER(J204),J204&lt;0),"Saldo negativo","Status esgotado com saldo"))),IF(AG204&lt;&gt;"",AG204&amp;". ","")&amp;IF(J204&lt;=0,"",IF(N204="VENCIDO","Validade vencida. ","")&amp;IF(M204="Quarentena","Em quarentena. ","")&amp;IF(M204="Bloqueado","Lote bloqueado. ","")&amp;IF(N204="CRÍTICO","Validade crítica. ","")&amp;IF(N204="VENCE NA JANELA","Vence na janela. ","")))))</x:f>
      </x:c>
      <x:c r="Z204" s="167" t="n">
        <x:f>IF(OR(X204=0,Y204=""),0,IF(OR(Listas!$B$13&lt;&gt;"OK",U204&gt;0,AH204&gt;0),1,IF(N204="VENCIDO",2,IF(OR(M204="Quarentena",M204="Bloqueado"),3,IF(N204="CRÍTICO",4,5)))))</x:f>
        <x:v>0</x:v>
      </x:c>
      <x:c r="AA204" s="167" t="n">
        <x:f>IF(Z204=0,0,COUNTIFS($Z$5:$Z$204,"&gt;0",$Z$5:$Z$204,"&lt;"&amp;Z204,$X$5:$X$204,1)+COUNTIFS($Z$5:Z204,Z204,$X$5:X204,1))</x:f>
        <x:v>0</x:v>
      </x:c>
      <x:c r="AB204" s="168"/>
      <x:c r="AC204" s="168"/>
      <x:c r="AD204" s="169"/>
      <x:c r="AE204" s="167" t="str">
        <x:f>IF(X204=0,"",IF(OR(U204&gt;0,Listas!$B$13&lt;&gt;"OK"),"Dados pendentes",IF(J204&lt;=0,"Sem saldo",IF(N204="VENCIDO","Vencidos",IF(OR(M204="Quarentena",M204="Bloqueado"),"Restritos vigentes",IF(OR(N204="CRÍTICO",N204="VENCE NA JANELA"),"Liberados na janela","Demais liberados"))))))</x:f>
      </x:c>
      <x:c r="AF204" s="167" t="str">
        <x:f>IF(A204&lt;&gt;"",A204,IF(U204&gt;0,"Sem ID (linha "&amp;ROW()&amp;")",""))</x:f>
      </x:c>
      <x:c r="AG204" s="167" t="str">
        <x:f>IF(AD204="","",IF(OR(NOT(ISNUMBER(AD204)),AD204&lt;=0),"Prazo da ação inválido",""))</x:f>
      </x:c>
      <x:c r="AH204" s="167" t="n">
        <x:f>IF(AG204="",0,1)</x:f>
        <x:v>0</x:v>
      </x:c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R1"/>
    <x:mergeCell ref="A2:R2"/>
  </x:mergeCells>
  <x:conditionalFormatting sqref="N5:N204">
    <x:cfRule type="containsText" dxfId="2" priority="1" operator="containsText" text="VENCIDO"/>
    <x:cfRule type="containsText" dxfId="3" priority="2" operator="containsText" text="CRÍTICO"/>
    <x:cfRule type="containsText" dxfId="4" priority="3" operator="containsText" text="VENCE EM 30 DIAS"/>
  </x:conditionalFormatting>
  <x:conditionalFormatting sqref="M5:M204">
    <x:cfRule type="containsText" dxfId="5" priority="4" operator="containsText" text="Quarentena"/>
    <x:cfRule type="containsText" dxfId="6" priority="5" operator="containsText" text="Bloqueado"/>
  </x:conditionalFormatting>
  <x:conditionalFormatting sqref="U5:U204">
    <x:cfRule type="expression" dxfId="12" priority="6">
      <x:formula>U5&gt;0</x:formula>
    </x:cfRule>
  </x:conditionalFormatting>
  <x:conditionalFormatting sqref="AD5:AD204">
    <x:cfRule type="expression" dxfId="14" priority="7">
      <x:formula>AG5&lt;&gt;""</x:formula>
    </x:cfRule>
  </x:conditionalFormatting>
  <x:dataValidations count="3">
    <x:dataValidation type="list" sqref="B5:B204">
      <x:formula1>Produtos!$A$5:$A$204</x:formula1>
    </x:dataValidation>
    <x:dataValidation type="list" sqref="M5:M204">
      <x:formula1>Listas!$H$6:$H$9</x:formula1>
    </x:dataValidation>
    <x:dataValidation type="list" sqref="AB5:AB204">
      <x:formula1>Listas!$K$6:$K$10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2b68ad8a08d4e1e"/>
  </x:tableParts>
</x:worksheet>
</file>

<file path=xl/worksheets/sheet4.xml><?xml version="1.0" encoding="utf-8"?>
<x:worksheet xmlns:x="http://schemas.openxmlformats.org/spreadsheetml/2006/main">
  <x:sheetPr>
    <x:tabColor rgb="FF7AA7D8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8" hidden="0" customWidth="1"/>
    <x:col min="4" max="4" width="17" hidden="0" customWidth="1"/>
    <x:col min="5" max="5" width="16" hidden="0" customWidth="1"/>
    <x:col min="6" max="6" width="33" hidden="0" customWidth="1"/>
    <x:col min="7" max="7" width="16" hidden="0" customWidth="1"/>
    <x:col min="8" max="8" width="21" hidden="0" customWidth="1"/>
    <x:col min="9" max="9" width="19" hidden="0" customWidth="1"/>
    <x:col min="10" max="10" width="23" hidden="0" customWidth="1"/>
    <x:col min="11" max="11" width="21" hidden="0" customWidth="1"/>
    <x:col min="12" max="12" width="18" hidden="0" customWidth="1"/>
    <x:col min="13" max="13" width="20" hidden="0" customWidth="1"/>
    <x:col min="14" max="14" width="38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4" customHeight="1">
      <x:c r="A1" s="4" t="str">
        <x:v>MOVIMENTAÇÕES POR LOTE</x:v>
      </x:c>
      <x:c r="B1" s="4" t="str">
        <x:v>MOVIMENTAÇÕES POR LOTE</x:v>
      </x:c>
      <x:c r="C1" s="4" t="str">
        <x:v>MOVIMENTAÇÕES POR LOTE</x:v>
      </x:c>
      <x:c r="D1" s="4" t="str">
        <x:v>MOVIMENTAÇÕES POR LOTE</x:v>
      </x:c>
      <x:c r="E1" s="4" t="str">
        <x:v>MOVIMENTAÇÕES POR LOTE</x:v>
      </x:c>
      <x:c r="F1" s="4" t="str">
        <x:v>MOVIMENTAÇÕES POR LOTE</x:v>
      </x:c>
      <x:c r="G1" s="4" t="str">
        <x:v>MOVIMENTAÇÕES POR LOTE</x:v>
      </x:c>
      <x:c r="H1" s="4" t="str">
        <x:v>MOVIMENTAÇÕES POR LOTE</x:v>
      </x:c>
      <x:c r="I1" s="4" t="str">
        <x:v>MOVIMENTAÇÕES POR LOTE</x:v>
      </x:c>
      <x:c r="J1" s="4" t="str">
        <x:v>MOVIMENTAÇÕES POR LOTE</x:v>
      </x:c>
      <x:c r="K1" s="4" t="str">
        <x:v>MOVIMENTAÇÕES POR LOTE</x:v>
      </x:c>
      <x:c r="L1" s="4" t="str">
        <x:v>MOVIMENTAÇÕES POR LOTE</x:v>
      </x:c>
      <x:c r="M1" s="4" t="str">
        <x:v>MOVIMENTAÇÕES POR LOTE</x:v>
      </x:c>
      <x:c r="N1" s="4" t="str">
        <x:v>MOVIMENTAÇÕES POR LOTE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Registre cada entrada, saída, perda ou ajuste. O impacto assinado alimenta o saldo de cada lote sem apagar o histórico.</x:v>
      </x:c>
      <x:c r="B2" s="8" t="str">
        <x:v>Registre cada entrada, saída, perda ou ajuste. O impacto assinado alimenta o saldo de cada lote sem apagar o histórico.</x:v>
      </x:c>
      <x:c r="C2" s="8" t="str">
        <x:v>Registre cada entrada, saída, perda ou ajuste. O impacto assinado alimenta o saldo de cada lote sem apagar o histórico.</x:v>
      </x:c>
      <x:c r="D2" s="8" t="str">
        <x:v>Registre cada entrada, saída, perda ou ajuste. O impacto assinado alimenta o saldo de cada lote sem apagar o histórico.</x:v>
      </x:c>
      <x:c r="E2" s="8" t="str">
        <x:v>Registre cada entrada, saída, perda ou ajuste. O impacto assinado alimenta o saldo de cada lote sem apagar o histórico.</x:v>
      </x:c>
      <x:c r="F2" s="8" t="str">
        <x:v>Registre cada entrada, saída, perda ou ajuste. O impacto assinado alimenta o saldo de cada lote sem apagar o histórico.</x:v>
      </x:c>
      <x:c r="G2" s="8" t="str">
        <x:v>Registre cada entrada, saída, perda ou ajuste. O impacto assinado alimenta o saldo de cada lote sem apagar o histórico.</x:v>
      </x:c>
      <x:c r="H2" s="8" t="str">
        <x:v>Registre cada entrada, saída, perda ou ajuste. O impacto assinado alimenta o saldo de cada lote sem apagar o histórico.</x:v>
      </x:c>
      <x:c r="I2" s="8" t="str">
        <x:v>Registre cada entrada, saída, perda ou ajuste. O impacto assinado alimenta o saldo de cada lote sem apagar o histórico.</x:v>
      </x:c>
      <x:c r="J2" s="8" t="str">
        <x:v>Registre cada entrada, saída, perda ou ajuste. O impacto assinado alimenta o saldo de cada lote sem apagar o histórico.</x:v>
      </x:c>
      <x:c r="K2" s="8" t="str">
        <x:v>Registre cada entrada, saída, perda ou ajuste. O impacto assinado alimenta o saldo de cada lote sem apagar o histórico.</x:v>
      </x:c>
      <x:c r="L2" s="8" t="str">
        <x:v>Registre cada entrada, saída, perda ou ajuste. O impacto assinado alimenta o saldo de cada lote sem apagar o histórico.</x:v>
      </x:c>
      <x:c r="M2" s="8" t="str">
        <x:v>Registre cada entrada, saída, perda ou ajuste. O impacto assinado alimenta o saldo de cada lote sem apagar o histórico.</x:v>
      </x:c>
      <x:c r="N2" s="8" t="str">
        <x:v>Registre cada entrada, saída, perda ou ajuste. O impacto assinado alimenta o saldo de cada lote sem apagar o histórico.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2" customHeight="1">
      <x:c r="A4" s="22" t="str">
        <x:v>ID</x:v>
      </x:c>
      <x:c r="B4" s="23" t="str">
        <x:v>Data</x:v>
      </x:c>
      <x:c r="C4" s="23" t="str">
        <x:v>Tipo</x:v>
      </x:c>
      <x:c r="D4" s="23" t="str">
        <x:v>Lote</x:v>
      </x:c>
      <x:c r="E4" s="23" t="str">
        <x:v>SKU</x:v>
      </x:c>
      <x:c r="F4" s="23" t="str">
        <x:v>Produto</x:v>
      </x:c>
      <x:c r="G4" s="23" t="str">
        <x:v>Quantidade</x:v>
      </x:c>
      <x:c r="H4" s="23" t="str">
        <x:v>Impacto no saldo</x:v>
      </x:c>
      <x:c r="I4" s="23" t="str">
        <x:v>Custo unitário</x:v>
      </x:c>
      <x:c r="J4" s="23" t="str">
        <x:v>Valor movimentado</x:v>
      </x:c>
      <x:c r="K4" s="23" t="str">
        <x:v>Motivo</x:v>
      </x:c>
      <x:c r="L4" s="23" t="str">
        <x:v>Documento</x:v>
      </x:c>
      <x:c r="M4" s="23" t="str">
        <x:v>Responsável</x:v>
      </x:c>
      <x:c r="N4" s="24" t="str">
        <x:v>Observação</x:v>
      </x:c>
      <x:c r="O4" s="178" t="str">
        <x:v>Pendência do movimento</x:v>
      </x:c>
      <x:c r="P4" s="178" t="str">
        <x:v>Linha pendente</x:v>
      </x:c>
      <x:c r="Q4" s="178" t="str">
        <x:v>No contexto</x:v>
      </x:c>
      <x:c r="R4" s="1"/>
      <x:c r="S4" s="1"/>
      <x:c r="T4" s="1"/>
      <x:c r="U4" s="1"/>
      <x:c r="V4" s="1"/>
      <x:c r="W4" s="1"/>
    </x:row>
    <x:row r="5" ht="32" customHeight="1">
      <x:c r="A5" s="170" t="str">
        <x:v>MOV-001</x:v>
      </x:c>
      <x:c r="B5" s="179" t="n">
        <x:v>46205</x:v>
      </x:c>
      <x:c r="C5" s="170" t="str">
        <x:v>Entrada</x:v>
      </x:c>
      <x:c r="D5" s="170" t="str">
        <x:v>LOT-I001</x:v>
      </x:c>
      <x:c r="E5" s="40" t="str">
        <x:f>IF($D5="","",IFERROR(INDEX(Lotes!$B$5:$B$204,MATCH($D5,Lotes!$A$5:$A$204,0)),""))</x:f>
        <x:v>SKU-001</x:v>
      </x:c>
      <x:c r="F5" s="40" t="str">
        <x:f>IF($D5="","",IFERROR(INDEX(Lotes!$C$5:$C$204,MATCH($D5,Lotes!$A$5:$A$204,0)),""))</x:f>
        <x:v>Iogurte natural 170 g</x:v>
      </x:c>
      <x:c r="G5" s="27" t="n">
        <x:v>300</x:v>
      </x:c>
      <x:c r="H5" s="40" t="n">
        <x:f>IF(A5="","",IF(O5&lt;&gt;"","n.a.",IF(OR(C5="Saída",C5="Perda",C5="Ajuste negativo"),-G5,G5)))</x:f>
        <x:v>300</x:v>
      </x:c>
      <x:c r="I5" s="181" t="n">
        <x:f>IF($D5="","",IFERROR(INDEX(Lotes!$K$5:$K$204,MATCH($D5,Lotes!$A$5:$A$204,0)),0))</x:f>
        <x:v>2.3</x:v>
      </x:c>
      <x:c r="J5" s="181" t="n">
        <x:f>IF(A5="","",IF(O5&lt;&gt;"","n.a.",ABS(H5)*I5))</x:f>
        <x:v>690</x:v>
      </x:c>
      <x:c r="K5" s="27" t="str">
        <x:v>Compra</x:v>
      </x:c>
      <x:c r="L5" s="27" t="str">
        <x:v>NF 14520</x:v>
      </x:c>
      <x:c r="M5" s="27" t="str">
        <x:v>Ana Souza</x:v>
      </x:c>
      <x:c r="N5" s="27" t="str">
        <x:v>Recebimento aprovado</x:v>
      </x:c>
      <x:c r="O5" s="163" t="str">
        <x:f>IF(COUNTA(A5:D5,G5,K5:N5)=0,"",IF(OR(A5="",COUNTIFS($A$5:$A$304,A5)&lt;&gt;1),"ID ausente ou duplicado",IF(OR(NOT(ISNUMBER(B5)),B5&lt;=0),"Data ausente ou inválida",IF(AND(C5&lt;&gt;"Entrada",C5&lt;&gt;"Saída",C5&lt;&gt;"Perda",C5&lt;&gt;"Ajuste positivo",C5&lt;&gt;"Ajuste negativo"),"Tipo de movimento inválido",IF(OR(D5="",COUNTIFS(Lotes!$A$5:$A$204,D5)&lt;&gt;1),"Lote ausente ou desconhecido",IF(COUNTIFS(Lotes!$A$5:$A$204,D5,Lotes!$S$5:$S$204,"?*")&gt;0,"Revisar cadastro do lote",IF(B5&lt;INDEX(Lotes!$E$5:$E$204,MATCH(D5,Lotes!$A$5:$A$204,0)),"Movimento anterior ao recebimento",IF(OR(NOT(ISNUMBER(G5)),G5&lt;=0),"Quantidade ausente ou inválida",""))))))))</x:f>
      </x:c>
      <x:c r="P5" s="163" t="n">
        <x:f>IF(O5="",0,1)</x:f>
        <x:v>0</x:v>
      </x:c>
      <x:c r="Q5" s="163" t="n">
        <x:f>IF(COUNTA(A5:D5,G5,K5:N5)=0,0,IF(OR(Listas!$B$19="Todos",E5=Listas!$B$19,E5="",COUNTIFS(Lotes!$A$5:$A$204,D5)&lt;&gt;1),1,0))</x:f>
        <x:v>1</x:v>
      </x:c>
      <x:c r="R5" s="1"/>
      <x:c r="S5" s="1"/>
      <x:c r="T5" s="1"/>
      <x:c r="U5" s="1"/>
      <x:c r="V5" s="1"/>
      <x:c r="W5" s="1"/>
    </x:row>
    <x:row r="6" ht="32" customHeight="1">
      <x:c r="A6" s="170" t="str">
        <x:v>MOV-002</x:v>
      </x:c>
      <x:c r="B6" s="179" t="n">
        <x:v>46235</x:v>
      </x:c>
      <x:c r="C6" s="170" t="str">
        <x:v>Saída</x:v>
      </x:c>
      <x:c r="D6" s="170" t="str">
        <x:v>LOT-I001</x:v>
      </x:c>
      <x:c r="E6" s="40" t="str">
        <x:f>IF($D6="","",IFERROR(INDEX(Lotes!$B$5:$B$204,MATCH($D6,Lotes!$A$5:$A$204,0)),""))</x:f>
        <x:v>SKU-001</x:v>
      </x:c>
      <x:c r="F6" s="40" t="str">
        <x:f>IF($D6="","",IFERROR(INDEX(Lotes!$C$5:$C$204,MATCH($D6,Lotes!$A$5:$A$204,0)),""))</x:f>
        <x:v>Iogurte natural 170 g</x:v>
      </x:c>
      <x:c r="G6" s="27" t="n">
        <x:v>240</x:v>
      </x:c>
      <x:c r="H6" s="40" t="n">
        <x:f>IF(A6="","",IF(O6&lt;&gt;"","n.a.",IF(OR(C6="Saída",C6="Perda",C6="Ajuste negativo"),-G6,G6)))</x:f>
        <x:v>-240</x:v>
      </x:c>
      <x:c r="I6" s="181" t="n">
        <x:f>IF($D6="","",IFERROR(INDEX(Lotes!$K$5:$K$204,MATCH($D6,Lotes!$A$5:$A$204,0)),0))</x:f>
        <x:v>2.3</x:v>
      </x:c>
      <x:c r="J6" s="181" t="n">
        <x:f>IF(A6="","",IF(O6&lt;&gt;"","n.a.",ABS(H6)*I6))</x:f>
        <x:v>552</x:v>
      </x:c>
      <x:c r="K6" s="27" t="str">
        <x:v>Venda</x:v>
      </x:c>
      <x:c r="L6" s="27" t="str">
        <x:v>PV 8031</x:v>
      </x:c>
      <x:c r="M6" s="27" t="str">
        <x:v>Bruno Lima</x:v>
      </x:c>
      <x:c r="N6" s="27" t="str">
        <x:v>FEFO aplicado</x:v>
      </x:c>
      <x:c r="O6" s="163" t="str">
        <x:f>IF(COUNTA(A6:D6,G6,K6:N6)=0,"",IF(OR(A6="",COUNTIFS($A$5:$A$304,A6)&lt;&gt;1),"ID ausente ou duplicado",IF(OR(NOT(ISNUMBER(B6)),B6&lt;=0),"Data ausente ou inválida",IF(AND(C6&lt;&gt;"Entrada",C6&lt;&gt;"Saída",C6&lt;&gt;"Perda",C6&lt;&gt;"Ajuste positivo",C6&lt;&gt;"Ajuste negativo"),"Tipo de movimento inválido",IF(OR(D6="",COUNTIFS(Lotes!$A$5:$A$204,D6)&lt;&gt;1),"Lote ausente ou desconhecido",IF(COUNTIFS(Lotes!$A$5:$A$204,D6,Lotes!$S$5:$S$204,"?*")&gt;0,"Revisar cadastro do lote",IF(B6&lt;INDEX(Lotes!$E$5:$E$204,MATCH(D6,Lotes!$A$5:$A$204,0)),"Movimento anterior ao recebimento",IF(OR(NOT(ISNUMBER(G6)),G6&lt;=0),"Quantidade ausente ou inválida",""))))))))</x:f>
      </x:c>
      <x:c r="P6" s="163" t="n">
        <x:f>IF(O6="",0,1)</x:f>
        <x:v>0</x:v>
      </x:c>
      <x:c r="Q6" s="163" t="n">
        <x:f>IF(COUNTA(A6:D6,G6,K6:N6)=0,0,IF(OR(Listas!$B$19="Todos",E6=Listas!$B$19,E6="",COUNTIFS(Lotes!$A$5:$A$204,D6)&lt;&gt;1),1,0))</x:f>
        <x:v>1</x:v>
      </x:c>
      <x:c r="R6" s="1"/>
      <x:c r="S6" s="1"/>
      <x:c r="T6" s="1"/>
      <x:c r="U6" s="1"/>
      <x:c r="V6" s="1"/>
      <x:c r="W6" s="1"/>
    </x:row>
    <x:row r="7" ht="32" customHeight="1">
      <x:c r="A7" s="170" t="str">
        <x:v>MOV-003</x:v>
      </x:c>
      <x:c r="B7" s="179" t="n">
        <x:v>46249</x:v>
      </x:c>
      <x:c r="C7" s="170" t="str">
        <x:v>Entrada</x:v>
      </x:c>
      <x:c r="D7" s="170" t="str">
        <x:v>LOT-I002</x:v>
      </x:c>
      <x:c r="E7" s="40" t="str">
        <x:f>IF($D7="","",IFERROR(INDEX(Lotes!$B$5:$B$204,MATCH($D7,Lotes!$A$5:$A$204,0)),""))</x:f>
        <x:v>SKU-001</x:v>
      </x:c>
      <x:c r="F7" s="40" t="str">
        <x:f>IF($D7="","",IFERROR(INDEX(Lotes!$C$5:$C$204,MATCH($D7,Lotes!$A$5:$A$204,0)),""))</x:f>
        <x:v>Iogurte natural 170 g</x:v>
      </x:c>
      <x:c r="G7" s="27" t="n">
        <x:v>420</x:v>
      </x:c>
      <x:c r="H7" s="40" t="n">
        <x:f>IF(A7="","",IF(O7&lt;&gt;"","n.a.",IF(OR(C7="Saída",C7="Perda",C7="Ajuste negativo"),-G7,G7)))</x:f>
        <x:v>420</x:v>
      </x:c>
      <x:c r="I7" s="181" t="n">
        <x:f>IF($D7="","",IFERROR(INDEX(Lotes!$K$5:$K$204,MATCH($D7,Lotes!$A$5:$A$204,0)),0))</x:f>
        <x:v>2.4</x:v>
      </x:c>
      <x:c r="J7" s="181" t="n">
        <x:f>IF(A7="","",IF(O7&lt;&gt;"","n.a.",ABS(H7)*I7))</x:f>
        <x:v>1008</x:v>
      </x:c>
      <x:c r="K7" s="27" t="str">
        <x:v>Compra</x:v>
      </x:c>
      <x:c r="L7" s="27" t="str">
        <x:v>NF 15081</x:v>
      </x:c>
      <x:c r="M7" s="27" t="str">
        <x:v>Ana Souza</x:v>
      </x:c>
      <x:c r="N7" s="27" t="str">
        <x:v>Temperatura conferida</x:v>
      </x:c>
      <x:c r="O7" s="163" t="str">
        <x:f>IF(COUNTA(A7:D7,G7,K7:N7)=0,"",IF(OR(A7="",COUNTIFS($A$5:$A$304,A7)&lt;&gt;1),"ID ausente ou duplicado",IF(OR(NOT(ISNUMBER(B7)),B7&lt;=0),"Data ausente ou inválida",IF(AND(C7&lt;&gt;"Entrada",C7&lt;&gt;"Saída",C7&lt;&gt;"Perda",C7&lt;&gt;"Ajuste positivo",C7&lt;&gt;"Ajuste negativo"),"Tipo de movimento inválido",IF(OR(D7="",COUNTIFS(Lotes!$A$5:$A$204,D7)&lt;&gt;1),"Lote ausente ou desconhecido",IF(COUNTIFS(Lotes!$A$5:$A$204,D7,Lotes!$S$5:$S$204,"?*")&gt;0,"Revisar cadastro do lote",IF(B7&lt;INDEX(Lotes!$E$5:$E$204,MATCH(D7,Lotes!$A$5:$A$204,0)),"Movimento anterior ao recebimento",IF(OR(NOT(ISNUMBER(G7)),G7&lt;=0),"Quantidade ausente ou inválida",""))))))))</x:f>
      </x:c>
      <x:c r="P7" s="163" t="n">
        <x:f>IF(O7="",0,1)</x:f>
        <x:v>0</x:v>
      </x:c>
      <x:c r="Q7" s="163" t="n">
        <x:f>IF(COUNTA(A7:D7,G7,K7:N7)=0,0,IF(OR(Listas!$B$19="Todos",E7=Listas!$B$19,E7="",COUNTIFS(Lotes!$A$5:$A$204,D7)&lt;&gt;1),1,0))</x:f>
        <x:v>1</x:v>
      </x:c>
      <x:c r="R7" s="1"/>
      <x:c r="S7" s="1"/>
      <x:c r="T7" s="1"/>
      <x:c r="U7" s="1"/>
      <x:c r="V7" s="1"/>
      <x:c r="W7" s="1"/>
    </x:row>
    <x:row r="8" ht="32" customHeight="1">
      <x:c r="A8" s="170" t="str">
        <x:v>MOV-004</x:v>
      </x:c>
      <x:c r="B8" s="179" t="n">
        <x:v>46281</x:v>
      </x:c>
      <x:c r="C8" s="170" t="str">
        <x:v>Saída</x:v>
      </x:c>
      <x:c r="D8" s="170" t="str">
        <x:v>LOT-I002</x:v>
      </x:c>
      <x:c r="E8" s="40" t="str">
        <x:f>IF($D8="","",IFERROR(INDEX(Lotes!$B$5:$B$204,MATCH($D8,Lotes!$A$5:$A$204,0)),""))</x:f>
        <x:v>SKU-001</x:v>
      </x:c>
      <x:c r="F8" s="40" t="str">
        <x:f>IF($D8="","",IFERROR(INDEX(Lotes!$C$5:$C$204,MATCH($D8,Lotes!$A$5:$A$204,0)),""))</x:f>
        <x:v>Iogurte natural 170 g</x:v>
      </x:c>
      <x:c r="G8" s="27" t="n">
        <x:v>130</x:v>
      </x:c>
      <x:c r="H8" s="40" t="n">
        <x:f>IF(A8="","",IF(O8&lt;&gt;"","n.a.",IF(OR(C8="Saída",C8="Perda",C8="Ajuste negativo"),-G8,G8)))</x:f>
        <x:v>-130</x:v>
      </x:c>
      <x:c r="I8" s="181" t="n">
        <x:f>IF($D8="","",IFERROR(INDEX(Lotes!$K$5:$K$204,MATCH($D8,Lotes!$A$5:$A$204,0)),0))</x:f>
        <x:v>2.4</x:v>
      </x:c>
      <x:c r="J8" s="181" t="n">
        <x:f>IF(A8="","",IF(O8&lt;&gt;"","n.a.",ABS(H8)*I8))</x:f>
        <x:v>312</x:v>
      </x:c>
      <x:c r="K8" s="27" t="str">
        <x:v>Venda</x:v>
      </x:c>
      <x:c r="L8" s="27" t="str">
        <x:v>PV 8290</x:v>
      </x:c>
      <x:c r="M8" s="27" t="str">
        <x:v>Bruno Lima</x:v>
      </x:c>
      <x:c r="N8" s="27" t="str">
        <x:v>Expedição diária</x:v>
      </x:c>
      <x:c r="O8" s="163" t="str">
        <x:f>IF(COUNTA(A8:D8,G8,K8:N8)=0,"",IF(OR(A8="",COUNTIFS($A$5:$A$304,A8)&lt;&gt;1),"ID ausente ou duplicado",IF(OR(NOT(ISNUMBER(B8)),B8&lt;=0),"Data ausente ou inválida",IF(AND(C8&lt;&gt;"Entrada",C8&lt;&gt;"Saída",C8&lt;&gt;"Perda",C8&lt;&gt;"Ajuste positivo",C8&lt;&gt;"Ajuste negativo"),"Tipo de movimento inválido",IF(OR(D8="",COUNTIFS(Lotes!$A$5:$A$204,D8)&lt;&gt;1),"Lote ausente ou desconhecido",IF(COUNTIFS(Lotes!$A$5:$A$204,D8,Lotes!$S$5:$S$204,"?*")&gt;0,"Revisar cadastro do lote",IF(B8&lt;INDEX(Lotes!$E$5:$E$204,MATCH(D8,Lotes!$A$5:$A$204,0)),"Movimento anterior ao recebimento",IF(OR(NOT(ISNUMBER(G8)),G8&lt;=0),"Quantidade ausente ou inválida",""))))))))</x:f>
      </x:c>
      <x:c r="P8" s="163" t="n">
        <x:f>IF(O8="",0,1)</x:f>
        <x:v>0</x:v>
      </x:c>
      <x:c r="Q8" s="163" t="n">
        <x:f>IF(COUNTA(A8:D8,G8,K8:N8)=0,0,IF(OR(Listas!$B$19="Todos",E8=Listas!$B$19,E8="",COUNTIFS(Lotes!$A$5:$A$204,D8)&lt;&gt;1),1,0))</x:f>
        <x:v>1</x:v>
      </x:c>
      <x:c r="R8" s="1"/>
      <x:c r="S8" s="1"/>
      <x:c r="T8" s="1"/>
      <x:c r="U8" s="1"/>
      <x:c r="V8" s="1"/>
      <x:c r="W8" s="1"/>
    </x:row>
    <x:row r="9" ht="32" customHeight="1">
      <x:c r="A9" s="170" t="str">
        <x:v>MOV-005</x:v>
      </x:c>
      <x:c r="B9" s="179" t="n">
        <x:v>46193</x:v>
      </x:c>
      <x:c r="C9" s="170" t="str">
        <x:v>Entrada</x:v>
      </x:c>
      <x:c r="D9" s="170" t="str">
        <x:v>LOT-S001</x:v>
      </x:c>
      <x:c r="E9" s="40" t="str">
        <x:f>IF($D9="","",IFERROR(INDEX(Lotes!$B$5:$B$204,MATCH($D9,Lotes!$A$5:$A$204,0)),""))</x:f>
        <x:v>SKU-002</x:v>
      </x:c>
      <x:c r="F9" s="40" t="str">
        <x:f>IF($D9="","",IFERROR(INDEX(Lotes!$C$5:$C$204,MATCH($D9,Lotes!$A$5:$A$204,0)),""))</x:f>
        <x:v>Suco integral 1 L</x:v>
      </x:c>
      <x:c r="G9" s="27" t="n">
        <x:v>80</x:v>
      </x:c>
      <x:c r="H9" s="40" t="n">
        <x:f>IF(A9="","",IF(O9&lt;&gt;"","n.a.",IF(OR(C9="Saída",C9="Perda",C9="Ajuste negativo"),-G9,G9)))</x:f>
        <x:v>80</x:v>
      </x:c>
      <x:c r="I9" s="181" t="n">
        <x:f>IF($D9="","",IFERROR(INDEX(Lotes!$K$5:$K$204,MATCH($D9,Lotes!$A$5:$A$204,0)),0))</x:f>
        <x:v>56.5</x:v>
      </x:c>
      <x:c r="J9" s="181" t="n">
        <x:f>IF(A9="","",IF(O9&lt;&gt;"","n.a.",ABS(H9)*I9))</x:f>
        <x:v>4520</x:v>
      </x:c>
      <x:c r="K9" s="27" t="str">
        <x:v>Compra</x:v>
      </x:c>
      <x:c r="L9" s="27" t="str">
        <x:v>NF 14215</x:v>
      </x:c>
      <x:c r="M9" s="27" t="str">
        <x:v>Ana Souza</x:v>
      </x:c>
      <x:c r="N9" s="27" t="str">
        <x:v>Caixas íntegras</x:v>
      </x:c>
      <x:c r="O9" s="163" t="str">
        <x:f>IF(COUNTA(A9:D9,G9,K9:N9)=0,"",IF(OR(A9="",COUNTIFS($A$5:$A$304,A9)&lt;&gt;1),"ID ausente ou duplicado",IF(OR(NOT(ISNUMBER(B9)),B9&lt;=0),"Data ausente ou inválida",IF(AND(C9&lt;&gt;"Entrada",C9&lt;&gt;"Saída",C9&lt;&gt;"Perda",C9&lt;&gt;"Ajuste positivo",C9&lt;&gt;"Ajuste negativo"),"Tipo de movimento inválido",IF(OR(D9="",COUNTIFS(Lotes!$A$5:$A$204,D9)&lt;&gt;1),"Lote ausente ou desconhecido",IF(COUNTIFS(Lotes!$A$5:$A$204,D9,Lotes!$S$5:$S$204,"?*")&gt;0,"Revisar cadastro do lote",IF(B9&lt;INDEX(Lotes!$E$5:$E$204,MATCH(D9,Lotes!$A$5:$A$204,0)),"Movimento anterior ao recebimento",IF(OR(NOT(ISNUMBER(G9)),G9&lt;=0),"Quantidade ausente ou inválida",""))))))))</x:f>
      </x:c>
      <x:c r="P9" s="163" t="n">
        <x:f>IF(O9="",0,1)</x:f>
        <x:v>0</x:v>
      </x:c>
      <x:c r="Q9" s="163" t="n">
        <x:f>IF(COUNTA(A9:D9,G9,K9:N9)=0,0,IF(OR(Listas!$B$19="Todos",E9=Listas!$B$19,E9="",COUNTIFS(Lotes!$A$5:$A$204,D9)&lt;&gt;1),1,0))</x:f>
        <x:v>1</x:v>
      </x:c>
      <x:c r="R9" s="1"/>
      <x:c r="S9" s="1"/>
      <x:c r="T9" s="1"/>
      <x:c r="U9" s="1"/>
      <x:c r="V9" s="1"/>
      <x:c r="W9" s="1"/>
    </x:row>
    <x:row r="10" ht="32" customHeight="1">
      <x:c r="A10" s="170" t="str">
        <x:v>MOV-006</x:v>
      </x:c>
      <x:c r="B10" s="179" t="n">
        <x:v>46275</x:v>
      </x:c>
      <x:c r="C10" s="170" t="str">
        <x:v>Saída</x:v>
      </x:c>
      <x:c r="D10" s="170" t="str">
        <x:v>LOT-S001</x:v>
      </x:c>
      <x:c r="E10" s="40" t="str">
        <x:f>IF($D10="","",IFERROR(INDEX(Lotes!$B$5:$B$204,MATCH($D10,Lotes!$A$5:$A$204,0)),""))</x:f>
        <x:v>SKU-002</x:v>
      </x:c>
      <x:c r="F10" s="40" t="str">
        <x:f>IF($D10="","",IFERROR(INDEX(Lotes!$C$5:$C$204,MATCH($D10,Lotes!$A$5:$A$204,0)),""))</x:f>
        <x:v>Suco integral 1 L</x:v>
      </x:c>
      <x:c r="G10" s="27" t="n">
        <x:v>52</x:v>
      </x:c>
      <x:c r="H10" s="40" t="n">
        <x:f>IF(A10="","",IF(O10&lt;&gt;"","n.a.",IF(OR(C10="Saída",C10="Perda",C10="Ajuste negativo"),-G10,G10)))</x:f>
        <x:v>-52</x:v>
      </x:c>
      <x:c r="I10" s="181" t="n">
        <x:f>IF($D10="","",IFERROR(INDEX(Lotes!$K$5:$K$204,MATCH($D10,Lotes!$A$5:$A$204,0)),0))</x:f>
        <x:v>56.5</x:v>
      </x:c>
      <x:c r="J10" s="181" t="n">
        <x:f>IF(A10="","",IF(O10&lt;&gt;"","n.a.",ABS(H10)*I10))</x:f>
        <x:v>2938</x:v>
      </x:c>
      <x:c r="K10" s="27" t="str">
        <x:v>Venda</x:v>
      </x:c>
      <x:c r="L10" s="27" t="str">
        <x:v>PV 8224</x:v>
      </x:c>
      <x:c r="M10" s="27" t="str">
        <x:v>Bruno Lima</x:v>
      </x:c>
      <x:c r="N10" s="27" t="str">
        <x:v>Cliente varejo</x:v>
      </x:c>
      <x:c r="O10" s="163" t="str">
        <x:f>IF(COUNTA(A10:D10,G10,K10:N10)=0,"",IF(OR(A10="",COUNTIFS($A$5:$A$304,A10)&lt;&gt;1),"ID ausente ou duplicado",IF(OR(NOT(ISNUMBER(B10)),B10&lt;=0),"Data ausente ou inválida",IF(AND(C10&lt;&gt;"Entrada",C10&lt;&gt;"Saída",C10&lt;&gt;"Perda",C10&lt;&gt;"Ajuste positivo",C10&lt;&gt;"Ajuste negativo"),"Tipo de movimento inválido",IF(OR(D10="",COUNTIFS(Lotes!$A$5:$A$204,D10)&lt;&gt;1),"Lote ausente ou desconhecido",IF(COUNTIFS(Lotes!$A$5:$A$204,D10,Lotes!$S$5:$S$204,"?*")&gt;0,"Revisar cadastro do lote",IF(B10&lt;INDEX(Lotes!$E$5:$E$204,MATCH(D10,Lotes!$A$5:$A$204,0)),"Movimento anterior ao recebimento",IF(OR(NOT(ISNUMBER(G10)),G10&lt;=0),"Quantidade ausente ou inválida",""))))))))</x:f>
      </x:c>
      <x:c r="P10" s="163" t="n">
        <x:f>IF(O10="",0,1)</x:f>
        <x:v>0</x:v>
      </x:c>
      <x:c r="Q10" s="163" t="n">
        <x:f>IF(COUNTA(A10:D10,G10,K10:N10)=0,0,IF(OR(Listas!$B$19="Todos",E10=Listas!$B$19,E10="",COUNTIFS(Lotes!$A$5:$A$204,D10)&lt;&gt;1),1,0))</x:f>
        <x:v>1</x:v>
      </x:c>
      <x:c r="R10" s="1"/>
      <x:c r="S10" s="1"/>
      <x:c r="T10" s="1"/>
      <x:c r="U10" s="1"/>
      <x:c r="V10" s="1"/>
      <x:c r="W10" s="1"/>
    </x:row>
    <x:row r="11" ht="32" customHeight="1">
      <x:c r="A11" s="170" t="str">
        <x:v>MOV-007</x:v>
      </x:c>
      <x:c r="B11" s="179" t="n">
        <x:v>46150</x:v>
      </x:c>
      <x:c r="C11" s="170" t="str">
        <x:v>Entrada</x:v>
      </x:c>
      <x:c r="D11" s="170" t="str">
        <x:v>LOT-A001</x:v>
      </x:c>
      <x:c r="E11" s="40" t="str">
        <x:f>IF($D11="","",IFERROR(INDEX(Lotes!$B$5:$B$204,MATCH($D11,Lotes!$A$5:$A$204,0)),""))</x:f>
        <x:v>SKU-003</x:v>
      </x:c>
      <x:c r="F11" s="40" t="str">
        <x:f>IF($D11="","",IFERROR(INDEX(Lotes!$C$5:$C$204,MATCH($D11,Lotes!$A$5:$A$204,0)),""))</x:f>
        <x:v>Álcool 70% 500 ml</x:v>
      </x:c>
      <x:c r="G11" s="27" t="n">
        <x:v>220</x:v>
      </x:c>
      <x:c r="H11" s="40" t="n">
        <x:f>IF(A11="","",IF(O11&lt;&gt;"","n.a.",IF(OR(C11="Saída",C11="Perda",C11="Ajuste negativo"),-G11,G11)))</x:f>
        <x:v>220</x:v>
      </x:c>
      <x:c r="I11" s="181" t="n">
        <x:f>IF($D11="","",IFERROR(INDEX(Lotes!$K$5:$K$204,MATCH($D11,Lotes!$A$5:$A$204,0)),0))</x:f>
        <x:v>6.6</x:v>
      </x:c>
      <x:c r="J11" s="181" t="n">
        <x:f>IF(A11="","",IF(O11&lt;&gt;"","n.a.",ABS(H11)*I11))</x:f>
        <x:v>1452</x:v>
      </x:c>
      <x:c r="K11" s="27" t="str">
        <x:v>Compra</x:v>
      </x:c>
      <x:c r="L11" s="27" t="str">
        <x:v>NF 13602</x:v>
      </x:c>
      <x:c r="M11" s="27" t="str">
        <x:v>Carla Nunes</x:v>
      </x:c>
      <x:c r="N11" s="27" t="str">
        <x:v>Lote liberado</x:v>
      </x:c>
      <x:c r="O11" s="163" t="str">
        <x:f>IF(COUNTA(A11:D11,G11,K11:N11)=0,"",IF(OR(A11="",COUNTIFS($A$5:$A$304,A11)&lt;&gt;1),"ID ausente ou duplicado",IF(OR(NOT(ISNUMBER(B11)),B11&lt;=0),"Data ausente ou inválida",IF(AND(C11&lt;&gt;"Entrada",C11&lt;&gt;"Saída",C11&lt;&gt;"Perda",C11&lt;&gt;"Ajuste positivo",C11&lt;&gt;"Ajuste negativo"),"Tipo de movimento inválido",IF(OR(D11="",COUNTIFS(Lotes!$A$5:$A$204,D11)&lt;&gt;1),"Lote ausente ou desconhecido",IF(COUNTIFS(Lotes!$A$5:$A$204,D11,Lotes!$S$5:$S$204,"?*")&gt;0,"Revisar cadastro do lote",IF(B11&lt;INDEX(Lotes!$E$5:$E$204,MATCH(D11,Lotes!$A$5:$A$204,0)),"Movimento anterior ao recebimento",IF(OR(NOT(ISNUMBER(G11)),G11&lt;=0),"Quantidade ausente ou inválida",""))))))))</x:f>
      </x:c>
      <x:c r="P11" s="163" t="n">
        <x:f>IF(O11="",0,1)</x:f>
        <x:v>0</x:v>
      </x:c>
      <x:c r="Q11" s="163" t="n">
        <x:f>IF(COUNTA(A11:D11,G11,K11:N11)=0,0,IF(OR(Listas!$B$19="Todos",E11=Listas!$B$19,E11="",COUNTIFS(Lotes!$A$5:$A$204,D11)&lt;&gt;1),1,0))</x:f>
        <x:v>1</x:v>
      </x:c>
      <x:c r="R11" s="1"/>
      <x:c r="S11" s="1"/>
      <x:c r="T11" s="1"/>
      <x:c r="U11" s="1"/>
      <x:c r="V11" s="1"/>
      <x:c r="W11" s="1"/>
    </x:row>
    <x:row r="12" ht="32" customHeight="1">
      <x:c r="A12" s="170" t="str">
        <x:v>MOV-008</x:v>
      </x:c>
      <x:c r="B12" s="179" t="n">
        <x:v>46287</x:v>
      </x:c>
      <x:c r="C12" s="170" t="str">
        <x:v>Saída</x:v>
      </x:c>
      <x:c r="D12" s="170" t="str">
        <x:v>LOT-A001</x:v>
      </x:c>
      <x:c r="E12" s="40" t="str">
        <x:f>IF($D12="","",IFERROR(INDEX(Lotes!$B$5:$B$204,MATCH($D12,Lotes!$A$5:$A$204,0)),""))</x:f>
        <x:v>SKU-003</x:v>
      </x:c>
      <x:c r="F12" s="40" t="str">
        <x:f>IF($D12="","",IFERROR(INDEX(Lotes!$C$5:$C$204,MATCH($D12,Lotes!$A$5:$A$204,0)),""))</x:f>
        <x:v>Álcool 70% 500 ml</x:v>
      </x:c>
      <x:c r="G12" s="27" t="n">
        <x:v>175</x:v>
      </x:c>
      <x:c r="H12" s="40" t="n">
        <x:f>IF(A12="","",IF(O12&lt;&gt;"","n.a.",IF(OR(C12="Saída",C12="Perda",C12="Ajuste negativo"),-G12,G12)))</x:f>
        <x:v>-175</x:v>
      </x:c>
      <x:c r="I12" s="181" t="n">
        <x:f>IF($D12="","",IFERROR(INDEX(Lotes!$K$5:$K$204,MATCH($D12,Lotes!$A$5:$A$204,0)),0))</x:f>
        <x:v>6.6</x:v>
      </x:c>
      <x:c r="J12" s="181" t="n">
        <x:f>IF(A12="","",IF(O12&lt;&gt;"","n.a.",ABS(H12)*I12))</x:f>
        <x:v>1155</x:v>
      </x:c>
      <x:c r="K12" s="27" t="str">
        <x:v>Consumo interno</x:v>
      </x:c>
      <x:c r="L12" s="27" t="str">
        <x:v>REQ 222</x:v>
      </x:c>
      <x:c r="M12" s="27" t="str">
        <x:v>Carla Nunes</x:v>
      </x:c>
      <x:c r="N12" s="27" t="str">
        <x:v>Uso interno</x:v>
      </x:c>
      <x:c r="O12" s="163" t="str">
        <x:f>IF(COUNTA(A12:D12,G12,K12:N12)=0,"",IF(OR(A12="",COUNTIFS($A$5:$A$304,A12)&lt;&gt;1),"ID ausente ou duplicado",IF(OR(NOT(ISNUMBER(B12)),B12&lt;=0),"Data ausente ou inválida",IF(AND(C12&lt;&gt;"Entrada",C12&lt;&gt;"Saída",C12&lt;&gt;"Perda",C12&lt;&gt;"Ajuste positivo",C12&lt;&gt;"Ajuste negativo"),"Tipo de movimento inválido",IF(OR(D12="",COUNTIFS(Lotes!$A$5:$A$204,D12)&lt;&gt;1),"Lote ausente ou desconhecido",IF(COUNTIFS(Lotes!$A$5:$A$204,D12,Lotes!$S$5:$S$204,"?*")&gt;0,"Revisar cadastro do lote",IF(B12&lt;INDEX(Lotes!$E$5:$E$204,MATCH(D12,Lotes!$A$5:$A$204,0)),"Movimento anterior ao recebimento",IF(OR(NOT(ISNUMBER(G12)),G12&lt;=0),"Quantidade ausente ou inválida",""))))))))</x:f>
      </x:c>
      <x:c r="P12" s="163" t="n">
        <x:f>IF(O12="",0,1)</x:f>
        <x:v>0</x:v>
      </x:c>
      <x:c r="Q12" s="163" t="n">
        <x:f>IF(COUNTA(A12:D12,G12,K12:N12)=0,0,IF(OR(Listas!$B$19="Todos",E12=Listas!$B$19,E12="",COUNTIFS(Lotes!$A$5:$A$204,D12)&lt;&gt;1),1,0))</x:f>
        <x:v>1</x:v>
      </x:c>
      <x:c r="R12" s="1"/>
      <x:c r="S12" s="1"/>
      <x:c r="T12" s="1"/>
      <x:c r="U12" s="1"/>
      <x:c r="V12" s="1"/>
      <x:c r="W12" s="1"/>
    </x:row>
    <x:row r="13" ht="32" customHeight="1">
      <x:c r="A13" s="170" t="str">
        <x:v>MOV-009</x:v>
      </x:c>
      <x:c r="B13" s="179" t="n">
        <x:v>46266</x:v>
      </x:c>
      <x:c r="C13" s="170" t="str">
        <x:v>Entrada</x:v>
      </x:c>
      <x:c r="D13" s="170" t="str">
        <x:v>LOT-V001</x:v>
      </x:c>
      <x:c r="E13" s="40" t="str">
        <x:f>IF($D13="","",IFERROR(INDEX(Lotes!$B$5:$B$204,MATCH($D13,Lotes!$A$5:$A$204,0)),""))</x:f>
        <x:v>SKU-005</x:v>
      </x:c>
      <x:c r="F13" s="40" t="str">
        <x:f>IF($D13="","",IFERROR(INDEX(Lotes!$C$5:$C$204,MATCH($D13,Lotes!$A$5:$A$204,0)),""))</x:f>
        <x:v>Vitamina C 30 cápsulas</x:v>
      </x:c>
      <x:c r="G13" s="27" t="n">
        <x:v>120</x:v>
      </x:c>
      <x:c r="H13" s="40" t="n">
        <x:f>IF(A13="","",IF(O13&lt;&gt;"","n.a.",IF(OR(C13="Saída",C13="Perda",C13="Ajuste negativo"),-G13,G13)))</x:f>
        <x:v>120</x:v>
      </x:c>
      <x:c r="I13" s="181" t="n">
        <x:f>IF($D13="","",IFERROR(INDEX(Lotes!$K$5:$K$204,MATCH($D13,Lotes!$A$5:$A$204,0)),0))</x:f>
        <x:v>18.2</x:v>
      </x:c>
      <x:c r="J13" s="181" t="n">
        <x:f>IF(A13="","",IF(O13&lt;&gt;"","n.a.",ABS(H13)*I13))</x:f>
        <x:v>2184</x:v>
      </x:c>
      <x:c r="K13" s="27" t="str">
        <x:v>Compra</x:v>
      </x:c>
      <x:c r="L13" s="27" t="str">
        <x:v>NF 15300</x:v>
      </x:c>
      <x:c r="M13" s="27" t="str">
        <x:v>Elisa Rocha</x:v>
      </x:c>
      <x:c r="N13" s="27" t="str">
        <x:v>Recebido em quarentena</x:v>
      </x:c>
      <x:c r="O13" s="163" t="str">
        <x:f>IF(COUNTA(A13:D13,G13,K13:N13)=0,"",IF(OR(A13="",COUNTIFS($A$5:$A$304,A13)&lt;&gt;1),"ID ausente ou duplicado",IF(OR(NOT(ISNUMBER(B13)),B13&lt;=0),"Data ausente ou inválida",IF(AND(C13&lt;&gt;"Entrada",C13&lt;&gt;"Saída",C13&lt;&gt;"Perda",C13&lt;&gt;"Ajuste positivo",C13&lt;&gt;"Ajuste negativo"),"Tipo de movimento inválido",IF(OR(D13="",COUNTIFS(Lotes!$A$5:$A$204,D13)&lt;&gt;1),"Lote ausente ou desconhecido",IF(COUNTIFS(Lotes!$A$5:$A$204,D13,Lotes!$S$5:$S$204,"?*")&gt;0,"Revisar cadastro do lote",IF(B13&lt;INDEX(Lotes!$E$5:$E$204,MATCH(D13,Lotes!$A$5:$A$204,0)),"Movimento anterior ao recebimento",IF(OR(NOT(ISNUMBER(G13)),G13&lt;=0),"Quantidade ausente ou inválida",""))))))))</x:f>
      </x:c>
      <x:c r="P13" s="163" t="n">
        <x:f>IF(O13="",0,1)</x:f>
        <x:v>0</x:v>
      </x:c>
      <x:c r="Q13" s="163" t="n">
        <x:f>IF(COUNTA(A13:D13,G13,K13:N13)=0,0,IF(OR(Listas!$B$19="Todos",E13=Listas!$B$19,E13="",COUNTIFS(Lotes!$A$5:$A$204,D13)&lt;&gt;1),1,0))</x:f>
        <x:v>1</x:v>
      </x:c>
      <x:c r="R13" s="1"/>
      <x:c r="S13" s="1"/>
      <x:c r="T13" s="1"/>
      <x:c r="U13" s="1"/>
      <x:c r="V13" s="1"/>
      <x:c r="W13" s="1"/>
    </x:row>
    <x:row r="14" ht="32" customHeight="1">
      <x:c r="A14" s="170" t="str">
        <x:v>MOV-010</x:v>
      </x:c>
      <x:c r="B14" s="179" t="n">
        <x:v>46270</x:v>
      </x:c>
      <x:c r="C14" s="170" t="str">
        <x:v>Entrada</x:v>
      </x:c>
      <x:c r="D14" s="170" t="str">
        <x:v>LOT-P001</x:v>
      </x:c>
      <x:c r="E14" s="40" t="str">
        <x:f>IF($D14="","",IFERROR(INDEX(Lotes!$B$5:$B$204,MATCH($D14,Lotes!$A$5:$A$204,0)),""))</x:f>
        <x:v>SKU-006</x:v>
      </x:c>
      <x:c r="F14" s="40" t="str">
        <x:f>IF($D14="","",IFERROR(INDEX(Lotes!$C$5:$C$204,MATCH($D14,Lotes!$A$5:$A$204,0)),""))</x:f>
        <x:v>Protetor solar FPS 50</x:v>
      </x:c>
      <x:c r="G14" s="27" t="n">
        <x:v>95</x:v>
      </x:c>
      <x:c r="H14" s="40" t="n">
        <x:f>IF(A14="","",IF(O14&lt;&gt;"","n.a.",IF(OR(C14="Saída",C14="Perda",C14="Ajuste negativo"),-G14,G14)))</x:f>
        <x:v>95</x:v>
      </x:c>
      <x:c r="I14" s="181" t="n">
        <x:f>IF($D14="","",IFERROR(INDEX(Lotes!$K$5:$K$204,MATCH($D14,Lotes!$A$5:$A$204,0)),0))</x:f>
        <x:v>34.5</x:v>
      </x:c>
      <x:c r="J14" s="181" t="n">
        <x:f>IF(A14="","",IF(O14&lt;&gt;"","n.a.",ABS(H14)*I14))</x:f>
        <x:v>3277.5</x:v>
      </x:c>
      <x:c r="K14" s="27" t="str">
        <x:v>Compra</x:v>
      </x:c>
      <x:c r="L14" s="27" t="str">
        <x:v>NF 15412</x:v>
      </x:c>
      <x:c r="M14" s="27" t="str">
        <x:v>Elisa Rocha</x:v>
      </x:c>
      <x:c r="N14" s="27" t="str">
        <x:v>Conferência OK</x:v>
      </x:c>
      <x:c r="O14" s="163" t="str">
        <x:f>IF(COUNTA(A14:D14,G14,K14:N14)=0,"",IF(OR(A14="",COUNTIFS($A$5:$A$304,A14)&lt;&gt;1),"ID ausente ou duplicado",IF(OR(NOT(ISNUMBER(B14)),B14&lt;=0),"Data ausente ou inválida",IF(AND(C14&lt;&gt;"Entrada",C14&lt;&gt;"Saída",C14&lt;&gt;"Perda",C14&lt;&gt;"Ajuste positivo",C14&lt;&gt;"Ajuste negativo"),"Tipo de movimento inválido",IF(OR(D14="",COUNTIFS(Lotes!$A$5:$A$204,D14)&lt;&gt;1),"Lote ausente ou desconhecido",IF(COUNTIFS(Lotes!$A$5:$A$204,D14,Lotes!$S$5:$S$204,"?*")&gt;0,"Revisar cadastro do lote",IF(B14&lt;INDEX(Lotes!$E$5:$E$204,MATCH(D14,Lotes!$A$5:$A$204,0)),"Movimento anterior ao recebimento",IF(OR(NOT(ISNUMBER(G14)),G14&lt;=0),"Quantidade ausente ou inválida",""))))))))</x:f>
      </x:c>
      <x:c r="P14" s="163" t="n">
        <x:f>IF(O14="",0,1)</x:f>
        <x:v>0</x:v>
      </x:c>
      <x:c r="Q14" s="163" t="n">
        <x:f>IF(COUNTA(A14:D14,G14,K14:N14)=0,0,IF(OR(Listas!$B$19="Todos",E14=Listas!$B$19,E14="",COUNTIFS(Lotes!$A$5:$A$204,D14)&lt;&gt;1),1,0))</x:f>
        <x:v>1</x:v>
      </x:c>
      <x:c r="R14" s="1"/>
      <x:c r="S14" s="1"/>
      <x:c r="T14" s="1"/>
      <x:c r="U14" s="1"/>
      <x:c r="V14" s="1"/>
      <x:c r="W14" s="1"/>
    </x:row>
    <x:row r="15" ht="32" customHeight="1">
      <x:c r="A15" s="170" t="str">
        <x:v>MOV-011</x:v>
      </x:c>
      <x:c r="B15" s="179" t="n">
        <x:v>46130</x:v>
      </x:c>
      <x:c r="C15" s="170" t="str">
        <x:v>Entrada</x:v>
      </x:c>
      <x:c r="D15" s="170" t="str">
        <x:v>LOT-D001</x:v>
      </x:c>
      <x:c r="E15" s="40" t="str">
        <x:f>IF($D15="","",IFERROR(INDEX(Lotes!$B$5:$B$204,MATCH($D15,Lotes!$A$5:$A$204,0)),""))</x:f>
        <x:v>SKU-004</x:v>
      </x:c>
      <x:c r="F15" s="40" t="str">
        <x:f>IF($D15="","",IFERROR(INDEX(Lotes!$C$5:$C$204,MATCH($D15,Lotes!$A$5:$A$204,0)),""))</x:f>
        <x:v>Detergente neutro 500 ml</x:v>
      </x:c>
      <x:c r="G15" s="27" t="n">
        <x:v>260</x:v>
      </x:c>
      <x:c r="H15" s="40" t="n">
        <x:f>IF(A15="","",IF(O15&lt;&gt;"","n.a.",IF(OR(C15="Saída",C15="Perda",C15="Ajuste negativo"),-G15,G15)))</x:f>
        <x:v>260</x:v>
      </x:c>
      <x:c r="I15" s="181" t="n">
        <x:f>IF($D15="","",IFERROR(INDEX(Lotes!$K$5:$K$204,MATCH($D15,Lotes!$A$5:$A$204,0)),0))</x:f>
        <x:v>2.75</x:v>
      </x:c>
      <x:c r="J15" s="181" t="n">
        <x:f>IF(A15="","",IF(O15&lt;&gt;"","n.a.",ABS(H15)*I15))</x:f>
        <x:v>715</x:v>
      </x:c>
      <x:c r="K15" s="27" t="str">
        <x:v>Compra</x:v>
      </x:c>
      <x:c r="L15" s="27" t="str">
        <x:v>NF 12988</x:v>
      </x:c>
      <x:c r="M15" s="27" t="str">
        <x:v>Diego Reis</x:v>
      </x:c>
      <x:c r="N15" s="27" t="str">
        <x:v>Lote antigo</x:v>
      </x:c>
      <x:c r="O15" s="163" t="str">
        <x:f>IF(COUNTA(A15:D15,G15,K15:N15)=0,"",IF(OR(A15="",COUNTIFS($A$5:$A$304,A15)&lt;&gt;1),"ID ausente ou duplicado",IF(OR(NOT(ISNUMBER(B15)),B15&lt;=0),"Data ausente ou inválida",IF(AND(C15&lt;&gt;"Entrada",C15&lt;&gt;"Saída",C15&lt;&gt;"Perda",C15&lt;&gt;"Ajuste positivo",C15&lt;&gt;"Ajuste negativo"),"Tipo de movimento inválido",IF(OR(D15="",COUNTIFS(Lotes!$A$5:$A$204,D15)&lt;&gt;1),"Lote ausente ou desconhecido",IF(COUNTIFS(Lotes!$A$5:$A$204,D15,Lotes!$S$5:$S$204,"?*")&gt;0,"Revisar cadastro do lote",IF(B15&lt;INDEX(Lotes!$E$5:$E$204,MATCH(D15,Lotes!$A$5:$A$204,0)),"Movimento anterior ao recebimento",IF(OR(NOT(ISNUMBER(G15)),G15&lt;=0),"Quantidade ausente ou inválida",""))))))))</x:f>
      </x:c>
      <x:c r="P15" s="163" t="n">
        <x:f>IF(O15="",0,1)</x:f>
        <x:v>0</x:v>
      </x:c>
      <x:c r="Q15" s="163" t="n">
        <x:f>IF(COUNTA(A15:D15,G15,K15:N15)=0,0,IF(OR(Listas!$B$19="Todos",E15=Listas!$B$19,E15="",COUNTIFS(Lotes!$A$5:$A$204,D15)&lt;&gt;1),1,0))</x:f>
        <x:v>1</x:v>
      </x:c>
      <x:c r="R15" s="1"/>
      <x:c r="S15" s="1"/>
      <x:c r="T15" s="1"/>
      <x:c r="U15" s="1"/>
      <x:c r="V15" s="1"/>
      <x:c r="W15" s="1"/>
    </x:row>
    <x:row r="16" ht="32" customHeight="1">
      <x:c r="A16" s="170" t="str">
        <x:v>MOV-012</x:v>
      </x:c>
      <x:c r="B16" s="179" t="n">
        <x:v>46277</x:v>
      </x:c>
      <x:c r="C16" s="170" t="str">
        <x:v>Saída</x:v>
      </x:c>
      <x:c r="D16" s="170" t="str">
        <x:v>LOT-D001</x:v>
      </x:c>
      <x:c r="E16" s="40" t="str">
        <x:f>IF($D16="","",IFERROR(INDEX(Lotes!$B$5:$B$204,MATCH($D16,Lotes!$A$5:$A$204,0)),""))</x:f>
        <x:v>SKU-004</x:v>
      </x:c>
      <x:c r="F16" s="40" t="str">
        <x:f>IF($D16="","",IFERROR(INDEX(Lotes!$C$5:$C$204,MATCH($D16,Lotes!$A$5:$A$204,0)),""))</x:f>
        <x:v>Detergente neutro 500 ml</x:v>
      </x:c>
      <x:c r="G16" s="27" t="n">
        <x:v>225</x:v>
      </x:c>
      <x:c r="H16" s="40" t="n">
        <x:f>IF(A16="","",IF(O16&lt;&gt;"","n.a.",IF(OR(C16="Saída",C16="Perda",C16="Ajuste negativo"),-G16,G16)))</x:f>
        <x:v>-225</x:v>
      </x:c>
      <x:c r="I16" s="181" t="n">
        <x:f>IF($D16="","",IFERROR(INDEX(Lotes!$K$5:$K$204,MATCH($D16,Lotes!$A$5:$A$204,0)),0))</x:f>
        <x:v>2.75</x:v>
      </x:c>
      <x:c r="J16" s="181" t="n">
        <x:f>IF(A16="","",IF(O16&lt;&gt;"","n.a.",ABS(H16)*I16))</x:f>
        <x:v>618.75</x:v>
      </x:c>
      <x:c r="K16" s="27" t="str">
        <x:v>Venda</x:v>
      </x:c>
      <x:c r="L16" s="27" t="str">
        <x:v>PV 8240</x:v>
      </x:c>
      <x:c r="M16" s="27" t="str">
        <x:v>Diego Reis</x:v>
      </x:c>
      <x:c r="N16" s="27" t="str">
        <x:v>Saldo residual</x:v>
      </x:c>
      <x:c r="O16" s="163" t="str">
        <x:f>IF(COUNTA(A16:D16,G16,K16:N16)=0,"",IF(OR(A16="",COUNTIFS($A$5:$A$304,A16)&lt;&gt;1),"ID ausente ou duplicado",IF(OR(NOT(ISNUMBER(B16)),B16&lt;=0),"Data ausente ou inválida",IF(AND(C16&lt;&gt;"Entrada",C16&lt;&gt;"Saída",C16&lt;&gt;"Perda",C16&lt;&gt;"Ajuste positivo",C16&lt;&gt;"Ajuste negativo"),"Tipo de movimento inválido",IF(OR(D16="",COUNTIFS(Lotes!$A$5:$A$204,D16)&lt;&gt;1),"Lote ausente ou desconhecido",IF(COUNTIFS(Lotes!$A$5:$A$204,D16,Lotes!$S$5:$S$204,"?*")&gt;0,"Revisar cadastro do lote",IF(B16&lt;INDEX(Lotes!$E$5:$E$204,MATCH(D16,Lotes!$A$5:$A$204,0)),"Movimento anterior ao recebimento",IF(OR(NOT(ISNUMBER(G16)),G16&lt;=0),"Quantidade ausente ou inválida",""))))))))</x:f>
      </x:c>
      <x:c r="P16" s="163" t="n">
        <x:f>IF(O16="",0,1)</x:f>
        <x:v>0</x:v>
      </x:c>
      <x:c r="Q16" s="163" t="n">
        <x:f>IF(COUNTA(A16:D16,G16,K16:N16)=0,0,IF(OR(Listas!$B$19="Todos",E16=Listas!$B$19,E16="",COUNTIFS(Lotes!$A$5:$A$204,D16)&lt;&gt;1),1,0))</x:f>
        <x:v>1</x:v>
      </x:c>
      <x:c r="R16" s="1"/>
      <x:c r="S16" s="1"/>
      <x:c r="T16" s="1"/>
      <x:c r="U16" s="1"/>
      <x:c r="V16" s="1"/>
      <x:c r="W16" s="1"/>
    </x:row>
    <x:row r="17" ht="32" customHeight="1">
      <x:c r="A17" s="170" t="str">
        <x:v>MOV-013</x:v>
      </x:c>
      <x:c r="B17" s="179" t="n">
        <x:v>46292</x:v>
      </x:c>
      <x:c r="C17" s="170" t="str">
        <x:v>Perda</x:v>
      </x:c>
      <x:c r="D17" s="170" t="str">
        <x:v>LOT-D001</x:v>
      </x:c>
      <x:c r="E17" s="40" t="str">
        <x:f>IF($D17="","",IFERROR(INDEX(Lotes!$B$5:$B$204,MATCH($D17,Lotes!$A$5:$A$204,0)),""))</x:f>
        <x:v>SKU-004</x:v>
      </x:c>
      <x:c r="F17" s="40" t="str">
        <x:f>IF($D17="","",IFERROR(INDEX(Lotes!$C$5:$C$204,MATCH($D17,Lotes!$A$5:$A$204,0)),""))</x:f>
        <x:v>Detergente neutro 500 ml</x:v>
      </x:c>
      <x:c r="G17" s="27" t="n">
        <x:v>5</x:v>
      </x:c>
      <x:c r="H17" s="40" t="n">
        <x:f>IF(A17="","",IF(O17&lt;&gt;"","n.a.",IF(OR(C17="Saída",C17="Perda",C17="Ajuste negativo"),-G17,G17)))</x:f>
        <x:v>-5</x:v>
      </x:c>
      <x:c r="I17" s="181" t="n">
        <x:f>IF($D17="","",IFERROR(INDEX(Lotes!$K$5:$K$204,MATCH($D17,Lotes!$A$5:$A$204,0)),0))</x:f>
        <x:v>2.75</x:v>
      </x:c>
      <x:c r="J17" s="181" t="n">
        <x:f>IF(A17="","",IF(O17&lt;&gt;"","n.a.",ABS(H17)*I17))</x:f>
        <x:v>13.75</x:v>
      </x:c>
      <x:c r="K17" s="27" t="str">
        <x:v>Avaria</x:v>
      </x:c>
      <x:c r="L17" s="27" t="str">
        <x:v>AV 032</x:v>
      </x:c>
      <x:c r="M17" s="27" t="str">
        <x:v>Diego Reis</x:v>
      </x:c>
      <x:c r="N17" s="27" t="str">
        <x:v>Embalagens danificadas</x:v>
      </x:c>
      <x:c r="O17" s="163" t="str">
        <x:f>IF(COUNTA(A17:D17,G17,K17:N17)=0,"",IF(OR(A17="",COUNTIFS($A$5:$A$304,A17)&lt;&gt;1),"ID ausente ou duplicado",IF(OR(NOT(ISNUMBER(B17)),B17&lt;=0),"Data ausente ou inválida",IF(AND(C17&lt;&gt;"Entrada",C17&lt;&gt;"Saída",C17&lt;&gt;"Perda",C17&lt;&gt;"Ajuste positivo",C17&lt;&gt;"Ajuste negativo"),"Tipo de movimento inválido",IF(OR(D17="",COUNTIFS(Lotes!$A$5:$A$204,D17)&lt;&gt;1),"Lote ausente ou desconhecido",IF(COUNTIFS(Lotes!$A$5:$A$204,D17,Lotes!$S$5:$S$204,"?*")&gt;0,"Revisar cadastro do lote",IF(B17&lt;INDEX(Lotes!$E$5:$E$204,MATCH(D17,Lotes!$A$5:$A$204,0)),"Movimento anterior ao recebimento",IF(OR(NOT(ISNUMBER(G17)),G17&lt;=0),"Quantidade ausente ou inválida",""))))))))</x:f>
      </x:c>
      <x:c r="P17" s="163" t="n">
        <x:f>IF(O17="",0,1)</x:f>
        <x:v>0</x:v>
      </x:c>
      <x:c r="Q17" s="163" t="n">
        <x:f>IF(COUNTA(A17:D17,G17,K17:N17)=0,0,IF(OR(Listas!$B$19="Todos",E17=Listas!$B$19,E17="",COUNTIFS(Lotes!$A$5:$A$204,D17)&lt;&gt;1),1,0))</x:f>
        <x:v>1</x:v>
      </x:c>
      <x:c r="R17" s="1"/>
      <x:c r="S17" s="1"/>
      <x:c r="T17" s="1"/>
      <x:c r="U17" s="1"/>
      <x:c r="V17" s="1"/>
      <x:c r="W17" s="1"/>
    </x:row>
    <x:row r="18" ht="32" customHeight="1">
      <x:c r="A18" s="170" t="str">
        <x:v>MOV-014</x:v>
      </x:c>
      <x:c r="B18" s="179" t="n">
        <x:v>46246</x:v>
      </x:c>
      <x:c r="C18" s="170" t="str">
        <x:v>Entrada</x:v>
      </x:c>
      <x:c r="D18" s="170" t="str">
        <x:v>LOT-R001</x:v>
      </x:c>
      <x:c r="E18" s="40" t="str">
        <x:f>IF($D18="","",IFERROR(INDEX(Lotes!$B$5:$B$204,MATCH($D18,Lotes!$A$5:$A$204,0)),""))</x:f>
        <x:v>SKU-007</x:v>
      </x:c>
      <x:c r="F18" s="40" t="str">
        <x:f>IF($D18="","",IFERROR(INDEX(Lotes!$C$5:$C$204,MATCH($D18,Lotes!$A$5:$A$204,0)),""))</x:f>
        <x:v>Ração premium 10 kg</x:v>
      </x:c>
      <x:c r="G18" s="27" t="n">
        <x:v>40</x:v>
      </x:c>
      <x:c r="H18" s="40" t="n">
        <x:f>IF(A18="","",IF(O18&lt;&gt;"","n.a.",IF(OR(C18="Saída",C18="Perda",C18="Ajuste negativo"),-G18,G18)))</x:f>
        <x:v>40</x:v>
      </x:c>
      <x:c r="I18" s="181" t="n">
        <x:f>IF($D18="","",IFERROR(INDEX(Lotes!$K$5:$K$204,MATCH($D18,Lotes!$A$5:$A$204,0)),0))</x:f>
        <x:v>119</x:v>
      </x:c>
      <x:c r="J18" s="181" t="n">
        <x:f>IF(A18="","",IF(O18&lt;&gt;"","n.a.",ABS(H18)*I18))</x:f>
        <x:v>4760</x:v>
      </x:c>
      <x:c r="K18" s="27" t="str">
        <x:v>Compra</x:v>
      </x:c>
      <x:c r="L18" s="27" t="str">
        <x:v>NF 14822</x:v>
      </x:c>
      <x:c r="M18" s="27" t="str">
        <x:v>Ana Souza</x:v>
      </x:c>
      <x:c r="N18" s="27" t="str">
        <x:v>Armazenamento seco</x:v>
      </x:c>
      <x:c r="O18" s="163" t="str">
        <x:f>IF(COUNTA(A18:D18,G18,K18:N18)=0,"",IF(OR(A18="",COUNTIFS($A$5:$A$304,A18)&lt;&gt;1),"ID ausente ou duplicado",IF(OR(NOT(ISNUMBER(B18)),B18&lt;=0),"Data ausente ou inválida",IF(AND(C18&lt;&gt;"Entrada",C18&lt;&gt;"Saída",C18&lt;&gt;"Perda",C18&lt;&gt;"Ajuste positivo",C18&lt;&gt;"Ajuste negativo"),"Tipo de movimento inválido",IF(OR(D18="",COUNTIFS(Lotes!$A$5:$A$204,D18)&lt;&gt;1),"Lote ausente ou desconhecido",IF(COUNTIFS(Lotes!$A$5:$A$204,D18,Lotes!$S$5:$S$204,"?*")&gt;0,"Revisar cadastro do lote",IF(B18&lt;INDEX(Lotes!$E$5:$E$204,MATCH(D18,Lotes!$A$5:$A$204,0)),"Movimento anterior ao recebimento",IF(OR(NOT(ISNUMBER(G18)),G18&lt;=0),"Quantidade ausente ou inválida",""))))))))</x:f>
      </x:c>
      <x:c r="P18" s="163" t="n">
        <x:f>IF(O18="",0,1)</x:f>
        <x:v>0</x:v>
      </x:c>
      <x:c r="Q18" s="163" t="n">
        <x:f>IF(COUNTA(A18:D18,G18,K18:N18)=0,0,IF(OR(Listas!$B$19="Todos",E18=Listas!$B$19,E18="",COUNTIFS(Lotes!$A$5:$A$204,D18)&lt;&gt;1),1,0))</x:f>
        <x:v>1</x:v>
      </x:c>
      <x:c r="R18" s="1"/>
      <x:c r="S18" s="1"/>
      <x:c r="T18" s="1"/>
      <x:c r="U18" s="1"/>
      <x:c r="V18" s="1"/>
      <x:c r="W18" s="1"/>
    </x:row>
    <x:row r="19" ht="32" customHeight="1">
      <x:c r="A19" s="170" t="str">
        <x:v>MOV-015</x:v>
      </x:c>
      <x:c r="B19" s="179" t="n">
        <x:v>46259</x:v>
      </x:c>
      <x:c r="C19" s="170" t="str">
        <x:v>Entrada</x:v>
      </x:c>
      <x:c r="D19" s="170" t="str">
        <x:v>LOT-DS01</x:v>
      </x:c>
      <x:c r="E19" s="40" t="str">
        <x:f>IF($D19="","",IFERROR(INDEX(Lotes!$B$5:$B$204,MATCH($D19,Lotes!$A$5:$A$204,0)),""))</x:f>
        <x:v>SKU-008</x:v>
      </x:c>
      <x:c r="F19" s="40" t="str">
        <x:f>IF($D19="","",IFERROR(INDEX(Lotes!$C$5:$C$204,MATCH($D19,Lotes!$A$5:$A$204,0)),""))</x:f>
        <x:v>Desinfetante 2 L</x:v>
      </x:c>
      <x:c r="G19" s="27" t="n">
        <x:v>180</x:v>
      </x:c>
      <x:c r="H19" s="40" t="n">
        <x:f>IF(A19="","",IF(O19&lt;&gt;"","n.a.",IF(OR(C19="Saída",C19="Perda",C19="Ajuste negativo"),-G19,G19)))</x:f>
        <x:v>180</x:v>
      </x:c>
      <x:c r="I19" s="181" t="n">
        <x:f>IF($D19="","",IFERROR(INDEX(Lotes!$K$5:$K$204,MATCH($D19,Lotes!$A$5:$A$204,0)),0))</x:f>
        <x:v>8.4</x:v>
      </x:c>
      <x:c r="J19" s="181" t="n">
        <x:f>IF(A19="","",IF(O19&lt;&gt;"","n.a.",ABS(H19)*I19))</x:f>
        <x:v>1512</x:v>
      </x:c>
      <x:c r="K19" s="27" t="str">
        <x:v>Compra</x:v>
      </x:c>
      <x:c r="L19" s="27" t="str">
        <x:v>NF 14930</x:v>
      </x:c>
      <x:c r="M19" s="27" t="str">
        <x:v>Ana Souza</x:v>
      </x:c>
      <x:c r="N19" s="27" t="str">
        <x:v>Lote liberado</x:v>
      </x:c>
      <x:c r="O19" s="163" t="str">
        <x:f>IF(COUNTA(A19:D19,G19,K19:N19)=0,"",IF(OR(A19="",COUNTIFS($A$5:$A$304,A19)&lt;&gt;1),"ID ausente ou duplicado",IF(OR(NOT(ISNUMBER(B19)),B19&lt;=0),"Data ausente ou inválida",IF(AND(C19&lt;&gt;"Entrada",C19&lt;&gt;"Saída",C19&lt;&gt;"Perda",C19&lt;&gt;"Ajuste positivo",C19&lt;&gt;"Ajuste negativo"),"Tipo de movimento inválido",IF(OR(D19="",COUNTIFS(Lotes!$A$5:$A$204,D19)&lt;&gt;1),"Lote ausente ou desconhecido",IF(COUNTIFS(Lotes!$A$5:$A$204,D19,Lotes!$S$5:$S$204,"?*")&gt;0,"Revisar cadastro do lote",IF(B19&lt;INDEX(Lotes!$E$5:$E$204,MATCH(D19,Lotes!$A$5:$A$204,0)),"Movimento anterior ao recebimento",IF(OR(NOT(ISNUMBER(G19)),G19&lt;=0),"Quantidade ausente ou inválida",""))))))))</x:f>
      </x:c>
      <x:c r="P19" s="163" t="n">
        <x:f>IF(O19="",0,1)</x:f>
        <x:v>0</x:v>
      </x:c>
      <x:c r="Q19" s="163" t="n">
        <x:f>IF(COUNTA(A19:D19,G19,K19:N19)=0,0,IF(OR(Listas!$B$19="Todos",E19=Listas!$B$19,E19="",COUNTIFS(Lotes!$A$5:$A$204,D19)&lt;&gt;1),1,0))</x:f>
        <x:v>1</x:v>
      </x:c>
      <x:c r="R19" s="1"/>
      <x:c r="S19" s="1"/>
      <x:c r="T19" s="1"/>
      <x:c r="U19" s="1"/>
      <x:c r="V19" s="1"/>
      <x:c r="W19" s="1"/>
    </x:row>
    <x:row r="20" ht="32" customHeight="1">
      <x:c r="A20" s="170"/>
      <x:c r="B20" s="179"/>
      <x:c r="C20" s="170"/>
      <x:c r="D20" s="170"/>
      <x:c r="E20" s="40" t="str">
        <x:f>IF($D20="","",IFERROR(INDEX(Lotes!$B$5:$B$204,MATCH($D20,Lotes!$A$5:$A$204,0)),""))</x:f>
      </x:c>
      <x:c r="F20" s="40" t="str">
        <x:f>IF($D20="","",IFERROR(INDEX(Lotes!$C$5:$C$204,MATCH($D20,Lotes!$A$5:$A$204,0)),""))</x:f>
      </x:c>
      <x:c r="G20" s="27"/>
      <x:c r="H20" s="40" t="str">
        <x:f>IF(A20="","",IF(O20&lt;&gt;"","n.a.",IF(OR(C20="Saída",C20="Perda",C20="Ajuste negativo"),-G20,G20)))</x:f>
      </x:c>
      <x:c r="I20" s="181" t="str">
        <x:f>IF($D20="","",IFERROR(INDEX(Lotes!$K$5:$K$204,MATCH($D20,Lotes!$A$5:$A$204,0)),0))</x:f>
      </x:c>
      <x:c r="J20" s="181" t="str">
        <x:f>IF(A20="","",IF(O20&lt;&gt;"","n.a.",ABS(H20)*I20))</x:f>
      </x:c>
      <x:c r="K20" s="27"/>
      <x:c r="L20" s="27"/>
      <x:c r="M20" s="27"/>
      <x:c r="N20" s="27"/>
      <x:c r="O20" s="163" t="str">
        <x:f>IF(COUNTA(A20:D20,G20,K20:N20)=0,"",IF(OR(A20="",COUNTIFS($A$5:$A$304,A20)&lt;&gt;1),"ID ausente ou duplicado",IF(OR(NOT(ISNUMBER(B20)),B20&lt;=0),"Data ausente ou inválida",IF(AND(C20&lt;&gt;"Entrada",C20&lt;&gt;"Saída",C20&lt;&gt;"Perda",C20&lt;&gt;"Ajuste positivo",C20&lt;&gt;"Ajuste negativo"),"Tipo de movimento inválido",IF(OR(D20="",COUNTIFS(Lotes!$A$5:$A$204,D20)&lt;&gt;1),"Lote ausente ou desconhecido",IF(COUNTIFS(Lotes!$A$5:$A$204,D20,Lotes!$S$5:$S$204,"?*")&gt;0,"Revisar cadastro do lote",IF(B20&lt;INDEX(Lotes!$E$5:$E$204,MATCH(D20,Lotes!$A$5:$A$204,0)),"Movimento anterior ao recebimento",IF(OR(NOT(ISNUMBER(G20)),G20&lt;=0),"Quantidade ausente ou inválida",""))))))))</x:f>
      </x:c>
      <x:c r="P20" s="163" t="n">
        <x:f>IF(O20="",0,1)</x:f>
        <x:v>0</x:v>
      </x:c>
      <x:c r="Q20" s="163" t="n">
        <x:f>IF(COUNTA(A20:D20,G20,K20:N20)=0,0,IF(OR(Listas!$B$19="Todos",E20=Listas!$B$19,E20="",COUNTIFS(Lotes!$A$5:$A$204,D20)&lt;&gt;1),1,0))</x:f>
        <x:v>0</x:v>
      </x:c>
      <x:c r="R20" s="1"/>
      <x:c r="S20" s="1"/>
      <x:c r="T20" s="1"/>
      <x:c r="U20" s="1"/>
      <x:c r="V20" s="1"/>
      <x:c r="W20" s="1"/>
    </x:row>
    <x:row r="21" ht="32" customHeight="1">
      <x:c r="A21" s="170"/>
      <x:c r="B21" s="179"/>
      <x:c r="C21" s="170"/>
      <x:c r="D21" s="170"/>
      <x:c r="E21" s="40" t="str">
        <x:f>IF($D21="","",IFERROR(INDEX(Lotes!$B$5:$B$204,MATCH($D21,Lotes!$A$5:$A$204,0)),""))</x:f>
      </x:c>
      <x:c r="F21" s="40" t="str">
        <x:f>IF($D21="","",IFERROR(INDEX(Lotes!$C$5:$C$204,MATCH($D21,Lotes!$A$5:$A$204,0)),""))</x:f>
      </x:c>
      <x:c r="G21" s="27"/>
      <x:c r="H21" s="40" t="str">
        <x:f>IF(A21="","",IF(O21&lt;&gt;"","n.a.",IF(OR(C21="Saída",C21="Perda",C21="Ajuste negativo"),-G21,G21)))</x:f>
      </x:c>
      <x:c r="I21" s="181" t="str">
        <x:f>IF($D21="","",IFERROR(INDEX(Lotes!$K$5:$K$204,MATCH($D21,Lotes!$A$5:$A$204,0)),0))</x:f>
      </x:c>
      <x:c r="J21" s="181" t="str">
        <x:f>IF(A21="","",IF(O21&lt;&gt;"","n.a.",ABS(H21)*I21))</x:f>
      </x:c>
      <x:c r="K21" s="27"/>
      <x:c r="L21" s="27"/>
      <x:c r="M21" s="27"/>
      <x:c r="N21" s="27"/>
      <x:c r="O21" s="163" t="str">
        <x:f>IF(COUNTA(A21:D21,G21,K21:N21)=0,"",IF(OR(A21="",COUNTIFS($A$5:$A$304,A21)&lt;&gt;1),"ID ausente ou duplicado",IF(OR(NOT(ISNUMBER(B21)),B21&lt;=0),"Data ausente ou inválida",IF(AND(C21&lt;&gt;"Entrada",C21&lt;&gt;"Saída",C21&lt;&gt;"Perda",C21&lt;&gt;"Ajuste positivo",C21&lt;&gt;"Ajuste negativo"),"Tipo de movimento inválido",IF(OR(D21="",COUNTIFS(Lotes!$A$5:$A$204,D21)&lt;&gt;1),"Lote ausente ou desconhecido",IF(COUNTIFS(Lotes!$A$5:$A$204,D21,Lotes!$S$5:$S$204,"?*")&gt;0,"Revisar cadastro do lote",IF(B21&lt;INDEX(Lotes!$E$5:$E$204,MATCH(D21,Lotes!$A$5:$A$204,0)),"Movimento anterior ao recebimento",IF(OR(NOT(ISNUMBER(G21)),G21&lt;=0),"Quantidade ausente ou inválida",""))))))))</x:f>
      </x:c>
      <x:c r="P21" s="163" t="n">
        <x:f>IF(O21="",0,1)</x:f>
        <x:v>0</x:v>
      </x:c>
      <x:c r="Q21" s="163" t="n">
        <x:f>IF(COUNTA(A21:D21,G21,K21:N21)=0,0,IF(OR(Listas!$B$19="Todos",E21=Listas!$B$19,E21="",COUNTIFS(Lotes!$A$5:$A$204,D21)&lt;&gt;1),1,0))</x:f>
        <x:v>0</x:v>
      </x:c>
      <x:c r="R21" s="1"/>
      <x:c r="S21" s="1"/>
      <x:c r="T21" s="1"/>
      <x:c r="U21" s="1"/>
      <x:c r="V21" s="1"/>
      <x:c r="W21" s="1"/>
    </x:row>
    <x:row r="22" ht="32" customHeight="1">
      <x:c r="A22" s="170"/>
      <x:c r="B22" s="179"/>
      <x:c r="C22" s="170"/>
      <x:c r="D22" s="170"/>
      <x:c r="E22" s="40" t="str">
        <x:f>IF($D22="","",IFERROR(INDEX(Lotes!$B$5:$B$204,MATCH($D22,Lotes!$A$5:$A$204,0)),""))</x:f>
      </x:c>
      <x:c r="F22" s="40" t="str">
        <x:f>IF($D22="","",IFERROR(INDEX(Lotes!$C$5:$C$204,MATCH($D22,Lotes!$A$5:$A$204,0)),""))</x:f>
      </x:c>
      <x:c r="G22" s="27"/>
      <x:c r="H22" s="40" t="str">
        <x:f>IF(A22="","",IF(O22&lt;&gt;"","n.a.",IF(OR(C22="Saída",C22="Perda",C22="Ajuste negativo"),-G22,G22)))</x:f>
      </x:c>
      <x:c r="I22" s="181" t="str">
        <x:f>IF($D22="","",IFERROR(INDEX(Lotes!$K$5:$K$204,MATCH($D22,Lotes!$A$5:$A$204,0)),0))</x:f>
      </x:c>
      <x:c r="J22" s="181" t="str">
        <x:f>IF(A22="","",IF(O22&lt;&gt;"","n.a.",ABS(H22)*I22))</x:f>
      </x:c>
      <x:c r="K22" s="27"/>
      <x:c r="L22" s="27"/>
      <x:c r="M22" s="27"/>
      <x:c r="N22" s="27"/>
      <x:c r="O22" s="163" t="str">
        <x:f>IF(COUNTA(A22:D22,G22,K22:N22)=0,"",IF(OR(A22="",COUNTIFS($A$5:$A$304,A22)&lt;&gt;1),"ID ausente ou duplicado",IF(OR(NOT(ISNUMBER(B22)),B22&lt;=0),"Data ausente ou inválida",IF(AND(C22&lt;&gt;"Entrada",C22&lt;&gt;"Saída",C22&lt;&gt;"Perda",C22&lt;&gt;"Ajuste positivo",C22&lt;&gt;"Ajuste negativo"),"Tipo de movimento inválido",IF(OR(D22="",COUNTIFS(Lotes!$A$5:$A$204,D22)&lt;&gt;1),"Lote ausente ou desconhecido",IF(COUNTIFS(Lotes!$A$5:$A$204,D22,Lotes!$S$5:$S$204,"?*")&gt;0,"Revisar cadastro do lote",IF(B22&lt;INDEX(Lotes!$E$5:$E$204,MATCH(D22,Lotes!$A$5:$A$204,0)),"Movimento anterior ao recebimento",IF(OR(NOT(ISNUMBER(G22)),G22&lt;=0),"Quantidade ausente ou inválida",""))))))))</x:f>
      </x:c>
      <x:c r="P22" s="163" t="n">
        <x:f>IF(O22="",0,1)</x:f>
        <x:v>0</x:v>
      </x:c>
      <x:c r="Q22" s="163" t="n">
        <x:f>IF(COUNTA(A22:D22,G22,K22:N22)=0,0,IF(OR(Listas!$B$19="Todos",E22=Listas!$B$19,E22="",COUNTIFS(Lotes!$A$5:$A$204,D22)&lt;&gt;1),1,0))</x:f>
        <x:v>0</x:v>
      </x:c>
      <x:c r="R22" s="1"/>
      <x:c r="S22" s="1"/>
      <x:c r="T22" s="1"/>
      <x:c r="U22" s="1"/>
      <x:c r="V22" s="1"/>
      <x:c r="W22" s="1"/>
    </x:row>
    <x:row r="23" ht="32" customHeight="1">
      <x:c r="A23" s="170"/>
      <x:c r="B23" s="179"/>
      <x:c r="C23" s="170"/>
      <x:c r="D23" s="170"/>
      <x:c r="E23" s="40" t="str">
        <x:f>IF($D23="","",IFERROR(INDEX(Lotes!$B$5:$B$204,MATCH($D23,Lotes!$A$5:$A$204,0)),""))</x:f>
      </x:c>
      <x:c r="F23" s="40" t="str">
        <x:f>IF($D23="","",IFERROR(INDEX(Lotes!$C$5:$C$204,MATCH($D23,Lotes!$A$5:$A$204,0)),""))</x:f>
      </x:c>
      <x:c r="G23" s="27"/>
      <x:c r="H23" s="40" t="str">
        <x:f>IF(A23="","",IF(O23&lt;&gt;"","n.a.",IF(OR(C23="Saída",C23="Perda",C23="Ajuste negativo"),-G23,G23)))</x:f>
      </x:c>
      <x:c r="I23" s="181" t="str">
        <x:f>IF($D23="","",IFERROR(INDEX(Lotes!$K$5:$K$204,MATCH($D23,Lotes!$A$5:$A$204,0)),0))</x:f>
      </x:c>
      <x:c r="J23" s="181" t="str">
        <x:f>IF(A23="","",IF(O23&lt;&gt;"","n.a.",ABS(H23)*I23))</x:f>
      </x:c>
      <x:c r="K23" s="27"/>
      <x:c r="L23" s="27"/>
      <x:c r="M23" s="27"/>
      <x:c r="N23" s="27"/>
      <x:c r="O23" s="163" t="str">
        <x:f>IF(COUNTA(A23:D23,G23,K23:N23)=0,"",IF(OR(A23="",COUNTIFS($A$5:$A$304,A23)&lt;&gt;1),"ID ausente ou duplicado",IF(OR(NOT(ISNUMBER(B23)),B23&lt;=0),"Data ausente ou inválida",IF(AND(C23&lt;&gt;"Entrada",C23&lt;&gt;"Saída",C23&lt;&gt;"Perda",C23&lt;&gt;"Ajuste positivo",C23&lt;&gt;"Ajuste negativo"),"Tipo de movimento inválido",IF(OR(D23="",COUNTIFS(Lotes!$A$5:$A$204,D23)&lt;&gt;1),"Lote ausente ou desconhecido",IF(COUNTIFS(Lotes!$A$5:$A$204,D23,Lotes!$S$5:$S$204,"?*")&gt;0,"Revisar cadastro do lote",IF(B23&lt;INDEX(Lotes!$E$5:$E$204,MATCH(D23,Lotes!$A$5:$A$204,0)),"Movimento anterior ao recebimento",IF(OR(NOT(ISNUMBER(G23)),G23&lt;=0),"Quantidade ausente ou inválida",""))))))))</x:f>
      </x:c>
      <x:c r="P23" s="163" t="n">
        <x:f>IF(O23="",0,1)</x:f>
        <x:v>0</x:v>
      </x:c>
      <x:c r="Q23" s="163" t="n">
        <x:f>IF(COUNTA(A23:D23,G23,K23:N23)=0,0,IF(OR(Listas!$B$19="Todos",E23=Listas!$B$19,E23="",COUNTIFS(Lotes!$A$5:$A$204,D23)&lt;&gt;1),1,0))</x:f>
        <x:v>0</x:v>
      </x:c>
      <x:c r="R23" s="1"/>
      <x:c r="S23" s="1"/>
      <x:c r="T23" s="1"/>
      <x:c r="U23" s="1"/>
      <x:c r="V23" s="1"/>
      <x:c r="W23" s="1"/>
    </x:row>
    <x:row r="24" ht="32" customHeight="1">
      <x:c r="A24" s="170"/>
      <x:c r="B24" s="179"/>
      <x:c r="C24" s="170"/>
      <x:c r="D24" s="170"/>
      <x:c r="E24" s="40" t="str">
        <x:f>IF($D24="","",IFERROR(INDEX(Lotes!$B$5:$B$204,MATCH($D24,Lotes!$A$5:$A$204,0)),""))</x:f>
      </x:c>
      <x:c r="F24" s="40" t="str">
        <x:f>IF($D24="","",IFERROR(INDEX(Lotes!$C$5:$C$204,MATCH($D24,Lotes!$A$5:$A$204,0)),""))</x:f>
      </x:c>
      <x:c r="G24" s="27"/>
      <x:c r="H24" s="40" t="str">
        <x:f>IF(A24="","",IF(O24&lt;&gt;"","n.a.",IF(OR(C24="Saída",C24="Perda",C24="Ajuste negativo"),-G24,G24)))</x:f>
      </x:c>
      <x:c r="I24" s="181" t="str">
        <x:f>IF($D24="","",IFERROR(INDEX(Lotes!$K$5:$K$204,MATCH($D24,Lotes!$A$5:$A$204,0)),0))</x:f>
      </x:c>
      <x:c r="J24" s="181" t="str">
        <x:f>IF(A24="","",IF(O24&lt;&gt;"","n.a.",ABS(H24)*I24))</x:f>
      </x:c>
      <x:c r="K24" s="27"/>
      <x:c r="L24" s="27"/>
      <x:c r="M24" s="27"/>
      <x:c r="N24" s="27"/>
      <x:c r="O24" s="163" t="str">
        <x:f>IF(COUNTA(A24:D24,G24,K24:N24)=0,"",IF(OR(A24="",COUNTIFS($A$5:$A$304,A24)&lt;&gt;1),"ID ausente ou duplicado",IF(OR(NOT(ISNUMBER(B24)),B24&lt;=0),"Data ausente ou inválida",IF(AND(C24&lt;&gt;"Entrada",C24&lt;&gt;"Saída",C24&lt;&gt;"Perda",C24&lt;&gt;"Ajuste positivo",C24&lt;&gt;"Ajuste negativo"),"Tipo de movimento inválido",IF(OR(D24="",COUNTIFS(Lotes!$A$5:$A$204,D24)&lt;&gt;1),"Lote ausente ou desconhecido",IF(COUNTIFS(Lotes!$A$5:$A$204,D24,Lotes!$S$5:$S$204,"?*")&gt;0,"Revisar cadastro do lote",IF(B24&lt;INDEX(Lotes!$E$5:$E$204,MATCH(D24,Lotes!$A$5:$A$204,0)),"Movimento anterior ao recebimento",IF(OR(NOT(ISNUMBER(G24)),G24&lt;=0),"Quantidade ausente ou inválida",""))))))))</x:f>
      </x:c>
      <x:c r="P24" s="163" t="n">
        <x:f>IF(O24="",0,1)</x:f>
        <x:v>0</x:v>
      </x:c>
      <x:c r="Q24" s="163" t="n">
        <x:f>IF(COUNTA(A24:D24,G24,K24:N24)=0,0,IF(OR(Listas!$B$19="Todos",E24=Listas!$B$19,E24="",COUNTIFS(Lotes!$A$5:$A$204,D24)&lt;&gt;1),1,0))</x:f>
        <x:v>0</x:v>
      </x:c>
      <x:c r="R24" s="1"/>
      <x:c r="S24" s="1"/>
      <x:c r="T24" s="1"/>
      <x:c r="U24" s="1"/>
      <x:c r="V24" s="1"/>
      <x:c r="W24" s="1"/>
    </x:row>
    <x:row r="25" ht="32" customHeight="1">
      <x:c r="A25" s="170"/>
      <x:c r="B25" s="179"/>
      <x:c r="C25" s="170"/>
      <x:c r="D25" s="170"/>
      <x:c r="E25" s="40" t="str">
        <x:f>IF($D25="","",IFERROR(INDEX(Lotes!$B$5:$B$204,MATCH($D25,Lotes!$A$5:$A$204,0)),""))</x:f>
      </x:c>
      <x:c r="F25" s="40" t="str">
        <x:f>IF($D25="","",IFERROR(INDEX(Lotes!$C$5:$C$204,MATCH($D25,Lotes!$A$5:$A$204,0)),""))</x:f>
      </x:c>
      <x:c r="G25" s="27"/>
      <x:c r="H25" s="40" t="str">
        <x:f>IF(A25="","",IF(O25&lt;&gt;"","n.a.",IF(OR(C25="Saída",C25="Perda",C25="Ajuste negativo"),-G25,G25)))</x:f>
      </x:c>
      <x:c r="I25" s="181" t="str">
        <x:f>IF($D25="","",IFERROR(INDEX(Lotes!$K$5:$K$204,MATCH($D25,Lotes!$A$5:$A$204,0)),0))</x:f>
      </x:c>
      <x:c r="J25" s="181" t="str">
        <x:f>IF(A25="","",IF(O25&lt;&gt;"","n.a.",ABS(H25)*I25))</x:f>
      </x:c>
      <x:c r="K25" s="27"/>
      <x:c r="L25" s="27"/>
      <x:c r="M25" s="27"/>
      <x:c r="N25" s="27"/>
      <x:c r="O25" s="163" t="str">
        <x:f>IF(COUNTA(A25:D25,G25,K25:N25)=0,"",IF(OR(A25="",COUNTIFS($A$5:$A$304,A25)&lt;&gt;1),"ID ausente ou duplicado",IF(OR(NOT(ISNUMBER(B25)),B25&lt;=0),"Data ausente ou inválida",IF(AND(C25&lt;&gt;"Entrada",C25&lt;&gt;"Saída",C25&lt;&gt;"Perda",C25&lt;&gt;"Ajuste positivo",C25&lt;&gt;"Ajuste negativo"),"Tipo de movimento inválido",IF(OR(D25="",COUNTIFS(Lotes!$A$5:$A$204,D25)&lt;&gt;1),"Lote ausente ou desconhecido",IF(COUNTIFS(Lotes!$A$5:$A$204,D25,Lotes!$S$5:$S$204,"?*")&gt;0,"Revisar cadastro do lote",IF(B25&lt;INDEX(Lotes!$E$5:$E$204,MATCH(D25,Lotes!$A$5:$A$204,0)),"Movimento anterior ao recebimento",IF(OR(NOT(ISNUMBER(G25)),G25&lt;=0),"Quantidade ausente ou inválida",""))))))))</x:f>
      </x:c>
      <x:c r="P25" s="163" t="n">
        <x:f>IF(O25="",0,1)</x:f>
        <x:v>0</x:v>
      </x:c>
      <x:c r="Q25" s="163" t="n">
        <x:f>IF(COUNTA(A25:D25,G25,K25:N25)=0,0,IF(OR(Listas!$B$19="Todos",E25=Listas!$B$19,E25="",COUNTIFS(Lotes!$A$5:$A$204,D25)&lt;&gt;1),1,0))</x:f>
        <x:v>0</x:v>
      </x:c>
      <x:c r="R25" s="1"/>
      <x:c r="S25" s="1"/>
      <x:c r="T25" s="1"/>
      <x:c r="U25" s="1"/>
      <x:c r="V25" s="1"/>
      <x:c r="W25" s="1"/>
    </x:row>
    <x:row r="26" ht="32" customHeight="1">
      <x:c r="A26" s="170"/>
      <x:c r="B26" s="179"/>
      <x:c r="C26" s="170"/>
      <x:c r="D26" s="170"/>
      <x:c r="E26" s="40" t="str">
        <x:f>IF($D26="","",IFERROR(INDEX(Lotes!$B$5:$B$204,MATCH($D26,Lotes!$A$5:$A$204,0)),""))</x:f>
      </x:c>
      <x:c r="F26" s="40" t="str">
        <x:f>IF($D26="","",IFERROR(INDEX(Lotes!$C$5:$C$204,MATCH($D26,Lotes!$A$5:$A$204,0)),""))</x:f>
      </x:c>
      <x:c r="G26" s="27"/>
      <x:c r="H26" s="40" t="str">
        <x:f>IF(A26="","",IF(O26&lt;&gt;"","n.a.",IF(OR(C26="Saída",C26="Perda",C26="Ajuste negativo"),-G26,G26)))</x:f>
      </x:c>
      <x:c r="I26" s="181" t="str">
        <x:f>IF($D26="","",IFERROR(INDEX(Lotes!$K$5:$K$204,MATCH($D26,Lotes!$A$5:$A$204,0)),0))</x:f>
      </x:c>
      <x:c r="J26" s="181" t="str">
        <x:f>IF(A26="","",IF(O26&lt;&gt;"","n.a.",ABS(H26)*I26))</x:f>
      </x:c>
      <x:c r="K26" s="27"/>
      <x:c r="L26" s="27"/>
      <x:c r="M26" s="27"/>
      <x:c r="N26" s="27"/>
      <x:c r="O26" s="163" t="str">
        <x:f>IF(COUNTA(A26:D26,G26,K26:N26)=0,"",IF(OR(A26="",COUNTIFS($A$5:$A$304,A26)&lt;&gt;1),"ID ausente ou duplicado",IF(OR(NOT(ISNUMBER(B26)),B26&lt;=0),"Data ausente ou inválida",IF(AND(C26&lt;&gt;"Entrada",C26&lt;&gt;"Saída",C26&lt;&gt;"Perda",C26&lt;&gt;"Ajuste positivo",C26&lt;&gt;"Ajuste negativo"),"Tipo de movimento inválido",IF(OR(D26="",COUNTIFS(Lotes!$A$5:$A$204,D26)&lt;&gt;1),"Lote ausente ou desconhecido",IF(COUNTIFS(Lotes!$A$5:$A$204,D26,Lotes!$S$5:$S$204,"?*")&gt;0,"Revisar cadastro do lote",IF(B26&lt;INDEX(Lotes!$E$5:$E$204,MATCH(D26,Lotes!$A$5:$A$204,0)),"Movimento anterior ao recebimento",IF(OR(NOT(ISNUMBER(G26)),G26&lt;=0),"Quantidade ausente ou inválida",""))))))))</x:f>
      </x:c>
      <x:c r="P26" s="163" t="n">
        <x:f>IF(O26="",0,1)</x:f>
        <x:v>0</x:v>
      </x:c>
      <x:c r="Q26" s="163" t="n">
        <x:f>IF(COUNTA(A26:D26,G26,K26:N26)=0,0,IF(OR(Listas!$B$19="Todos",E26=Listas!$B$19,E26="",COUNTIFS(Lotes!$A$5:$A$204,D26)&lt;&gt;1),1,0))</x:f>
        <x:v>0</x:v>
      </x:c>
      <x:c r="R26" s="1"/>
      <x:c r="S26" s="1"/>
      <x:c r="T26" s="1"/>
      <x:c r="U26" s="1"/>
      <x:c r="V26" s="1"/>
      <x:c r="W26" s="1"/>
    </x:row>
    <x:row r="27" ht="32" customHeight="1">
      <x:c r="A27" s="170"/>
      <x:c r="B27" s="179"/>
      <x:c r="C27" s="170"/>
      <x:c r="D27" s="170"/>
      <x:c r="E27" s="40" t="str">
        <x:f>IF($D27="","",IFERROR(INDEX(Lotes!$B$5:$B$204,MATCH($D27,Lotes!$A$5:$A$204,0)),""))</x:f>
      </x:c>
      <x:c r="F27" s="40" t="str">
        <x:f>IF($D27="","",IFERROR(INDEX(Lotes!$C$5:$C$204,MATCH($D27,Lotes!$A$5:$A$204,0)),""))</x:f>
      </x:c>
      <x:c r="G27" s="27"/>
      <x:c r="H27" s="40" t="str">
        <x:f>IF(A27="","",IF(O27&lt;&gt;"","n.a.",IF(OR(C27="Saída",C27="Perda",C27="Ajuste negativo"),-G27,G27)))</x:f>
      </x:c>
      <x:c r="I27" s="181" t="str">
        <x:f>IF($D27="","",IFERROR(INDEX(Lotes!$K$5:$K$204,MATCH($D27,Lotes!$A$5:$A$204,0)),0))</x:f>
      </x:c>
      <x:c r="J27" s="181" t="str">
        <x:f>IF(A27="","",IF(O27&lt;&gt;"","n.a.",ABS(H27)*I27))</x:f>
      </x:c>
      <x:c r="K27" s="27"/>
      <x:c r="L27" s="27"/>
      <x:c r="M27" s="27"/>
      <x:c r="N27" s="27"/>
      <x:c r="O27" s="163" t="str">
        <x:f>IF(COUNTA(A27:D27,G27,K27:N27)=0,"",IF(OR(A27="",COUNTIFS($A$5:$A$304,A27)&lt;&gt;1),"ID ausente ou duplicado",IF(OR(NOT(ISNUMBER(B27)),B27&lt;=0),"Data ausente ou inválida",IF(AND(C27&lt;&gt;"Entrada",C27&lt;&gt;"Saída",C27&lt;&gt;"Perda",C27&lt;&gt;"Ajuste positivo",C27&lt;&gt;"Ajuste negativo"),"Tipo de movimento inválido",IF(OR(D27="",COUNTIFS(Lotes!$A$5:$A$204,D27)&lt;&gt;1),"Lote ausente ou desconhecido",IF(COUNTIFS(Lotes!$A$5:$A$204,D27,Lotes!$S$5:$S$204,"?*")&gt;0,"Revisar cadastro do lote",IF(B27&lt;INDEX(Lotes!$E$5:$E$204,MATCH(D27,Lotes!$A$5:$A$204,0)),"Movimento anterior ao recebimento",IF(OR(NOT(ISNUMBER(G27)),G27&lt;=0),"Quantidade ausente ou inválida",""))))))))</x:f>
      </x:c>
      <x:c r="P27" s="163" t="n">
        <x:f>IF(O27="",0,1)</x:f>
        <x:v>0</x:v>
      </x:c>
      <x:c r="Q27" s="163" t="n">
        <x:f>IF(COUNTA(A27:D27,G27,K27:N27)=0,0,IF(OR(Listas!$B$19="Todos",E27=Listas!$B$19,E27="",COUNTIFS(Lotes!$A$5:$A$204,D27)&lt;&gt;1),1,0))</x:f>
        <x:v>0</x:v>
      </x:c>
      <x:c r="R27" s="1"/>
      <x:c r="S27" s="1"/>
      <x:c r="T27" s="1"/>
      <x:c r="U27" s="1"/>
      <x:c r="V27" s="1"/>
      <x:c r="W27" s="1"/>
    </x:row>
    <x:row r="28" ht="32" customHeight="1">
      <x:c r="A28" s="170"/>
      <x:c r="B28" s="179"/>
      <x:c r="C28" s="170"/>
      <x:c r="D28" s="170"/>
      <x:c r="E28" s="40" t="str">
        <x:f>IF($D28="","",IFERROR(INDEX(Lotes!$B$5:$B$204,MATCH($D28,Lotes!$A$5:$A$204,0)),""))</x:f>
      </x:c>
      <x:c r="F28" s="40" t="str">
        <x:f>IF($D28="","",IFERROR(INDEX(Lotes!$C$5:$C$204,MATCH($D28,Lotes!$A$5:$A$204,0)),""))</x:f>
      </x:c>
      <x:c r="G28" s="27"/>
      <x:c r="H28" s="40" t="str">
        <x:f>IF(A28="","",IF(O28&lt;&gt;"","n.a.",IF(OR(C28="Saída",C28="Perda",C28="Ajuste negativo"),-G28,G28)))</x:f>
      </x:c>
      <x:c r="I28" s="181" t="str">
        <x:f>IF($D28="","",IFERROR(INDEX(Lotes!$K$5:$K$204,MATCH($D28,Lotes!$A$5:$A$204,0)),0))</x:f>
      </x:c>
      <x:c r="J28" s="181" t="str">
        <x:f>IF(A28="","",IF(O28&lt;&gt;"","n.a.",ABS(H28)*I28))</x:f>
      </x:c>
      <x:c r="K28" s="27"/>
      <x:c r="L28" s="27"/>
      <x:c r="M28" s="27"/>
      <x:c r="N28" s="27"/>
      <x:c r="O28" s="163" t="str">
        <x:f>IF(COUNTA(A28:D28,G28,K28:N28)=0,"",IF(OR(A28="",COUNTIFS($A$5:$A$304,A28)&lt;&gt;1),"ID ausente ou duplicado",IF(OR(NOT(ISNUMBER(B28)),B28&lt;=0),"Data ausente ou inválida",IF(AND(C28&lt;&gt;"Entrada",C28&lt;&gt;"Saída",C28&lt;&gt;"Perda",C28&lt;&gt;"Ajuste positivo",C28&lt;&gt;"Ajuste negativo"),"Tipo de movimento inválido",IF(OR(D28="",COUNTIFS(Lotes!$A$5:$A$204,D28)&lt;&gt;1),"Lote ausente ou desconhecido",IF(COUNTIFS(Lotes!$A$5:$A$204,D28,Lotes!$S$5:$S$204,"?*")&gt;0,"Revisar cadastro do lote",IF(B28&lt;INDEX(Lotes!$E$5:$E$204,MATCH(D28,Lotes!$A$5:$A$204,0)),"Movimento anterior ao recebimento",IF(OR(NOT(ISNUMBER(G28)),G28&lt;=0),"Quantidade ausente ou inválida",""))))))))</x:f>
      </x:c>
      <x:c r="P28" s="163" t="n">
        <x:f>IF(O28="",0,1)</x:f>
        <x:v>0</x:v>
      </x:c>
      <x:c r="Q28" s="163" t="n">
        <x:f>IF(COUNTA(A28:D28,G28,K28:N28)=0,0,IF(OR(Listas!$B$19="Todos",E28=Listas!$B$19,E28="",COUNTIFS(Lotes!$A$5:$A$204,D28)&lt;&gt;1),1,0))</x:f>
        <x:v>0</x:v>
      </x:c>
      <x:c r="R28" s="1"/>
      <x:c r="S28" s="1"/>
      <x:c r="T28" s="1"/>
      <x:c r="U28" s="1"/>
      <x:c r="V28" s="1"/>
      <x:c r="W28" s="1"/>
    </x:row>
    <x:row r="29" ht="32" customHeight="1">
      <x:c r="A29" s="170"/>
      <x:c r="B29" s="179"/>
      <x:c r="C29" s="170"/>
      <x:c r="D29" s="170"/>
      <x:c r="E29" s="40" t="str">
        <x:f>IF($D29="","",IFERROR(INDEX(Lotes!$B$5:$B$204,MATCH($D29,Lotes!$A$5:$A$204,0)),""))</x:f>
      </x:c>
      <x:c r="F29" s="40" t="str">
        <x:f>IF($D29="","",IFERROR(INDEX(Lotes!$C$5:$C$204,MATCH($D29,Lotes!$A$5:$A$204,0)),""))</x:f>
      </x:c>
      <x:c r="G29" s="27"/>
      <x:c r="H29" s="40" t="str">
        <x:f>IF(A29="","",IF(O29&lt;&gt;"","n.a.",IF(OR(C29="Saída",C29="Perda",C29="Ajuste negativo"),-G29,G29)))</x:f>
      </x:c>
      <x:c r="I29" s="181" t="str">
        <x:f>IF($D29="","",IFERROR(INDEX(Lotes!$K$5:$K$204,MATCH($D29,Lotes!$A$5:$A$204,0)),0))</x:f>
      </x:c>
      <x:c r="J29" s="181" t="str">
        <x:f>IF(A29="","",IF(O29&lt;&gt;"","n.a.",ABS(H29)*I29))</x:f>
      </x:c>
      <x:c r="K29" s="27"/>
      <x:c r="L29" s="27"/>
      <x:c r="M29" s="27"/>
      <x:c r="N29" s="27"/>
      <x:c r="O29" s="163" t="str">
        <x:f>IF(COUNTA(A29:D29,G29,K29:N29)=0,"",IF(OR(A29="",COUNTIFS($A$5:$A$304,A29)&lt;&gt;1),"ID ausente ou duplicado",IF(OR(NOT(ISNUMBER(B29)),B29&lt;=0),"Data ausente ou inválida",IF(AND(C29&lt;&gt;"Entrada",C29&lt;&gt;"Saída",C29&lt;&gt;"Perda",C29&lt;&gt;"Ajuste positivo",C29&lt;&gt;"Ajuste negativo"),"Tipo de movimento inválido",IF(OR(D29="",COUNTIFS(Lotes!$A$5:$A$204,D29)&lt;&gt;1),"Lote ausente ou desconhecido",IF(COUNTIFS(Lotes!$A$5:$A$204,D29,Lotes!$S$5:$S$204,"?*")&gt;0,"Revisar cadastro do lote",IF(B29&lt;INDEX(Lotes!$E$5:$E$204,MATCH(D29,Lotes!$A$5:$A$204,0)),"Movimento anterior ao recebimento",IF(OR(NOT(ISNUMBER(G29)),G29&lt;=0),"Quantidade ausente ou inválida",""))))))))</x:f>
      </x:c>
      <x:c r="P29" s="163" t="n">
        <x:f>IF(O29="",0,1)</x:f>
        <x:v>0</x:v>
      </x:c>
      <x:c r="Q29" s="163" t="n">
        <x:f>IF(COUNTA(A29:D29,G29,K29:N29)=0,0,IF(OR(Listas!$B$19="Todos",E29=Listas!$B$19,E29="",COUNTIFS(Lotes!$A$5:$A$204,D29)&lt;&gt;1),1,0))</x:f>
        <x:v>0</x:v>
      </x:c>
      <x:c r="R29" s="1"/>
      <x:c r="S29" s="1"/>
      <x:c r="T29" s="1"/>
      <x:c r="U29" s="1"/>
      <x:c r="V29" s="1"/>
      <x:c r="W29" s="1"/>
    </x:row>
    <x:row r="30" ht="32" customHeight="1">
      <x:c r="A30" s="170"/>
      <x:c r="B30" s="179"/>
      <x:c r="C30" s="170"/>
      <x:c r="D30" s="170"/>
      <x:c r="E30" s="40" t="str">
        <x:f>IF($D30="","",IFERROR(INDEX(Lotes!$B$5:$B$204,MATCH($D30,Lotes!$A$5:$A$204,0)),""))</x:f>
      </x:c>
      <x:c r="F30" s="40" t="str">
        <x:f>IF($D30="","",IFERROR(INDEX(Lotes!$C$5:$C$204,MATCH($D30,Lotes!$A$5:$A$204,0)),""))</x:f>
      </x:c>
      <x:c r="G30" s="27"/>
      <x:c r="H30" s="40" t="str">
        <x:f>IF(A30="","",IF(O30&lt;&gt;"","n.a.",IF(OR(C30="Saída",C30="Perda",C30="Ajuste negativo"),-G30,G30)))</x:f>
      </x:c>
      <x:c r="I30" s="181" t="str">
        <x:f>IF($D30="","",IFERROR(INDEX(Lotes!$K$5:$K$204,MATCH($D30,Lotes!$A$5:$A$204,0)),0))</x:f>
      </x:c>
      <x:c r="J30" s="181" t="str">
        <x:f>IF(A30="","",IF(O30&lt;&gt;"","n.a.",ABS(H30)*I30))</x:f>
      </x:c>
      <x:c r="K30" s="27"/>
      <x:c r="L30" s="27"/>
      <x:c r="M30" s="27"/>
      <x:c r="N30" s="27"/>
      <x:c r="O30" s="163" t="str">
        <x:f>IF(COUNTA(A30:D30,G30,K30:N30)=0,"",IF(OR(A30="",COUNTIFS($A$5:$A$304,A30)&lt;&gt;1),"ID ausente ou duplicado",IF(OR(NOT(ISNUMBER(B30)),B30&lt;=0),"Data ausente ou inválida",IF(AND(C30&lt;&gt;"Entrada",C30&lt;&gt;"Saída",C30&lt;&gt;"Perda",C30&lt;&gt;"Ajuste positivo",C30&lt;&gt;"Ajuste negativo"),"Tipo de movimento inválido",IF(OR(D30="",COUNTIFS(Lotes!$A$5:$A$204,D30)&lt;&gt;1),"Lote ausente ou desconhecido",IF(COUNTIFS(Lotes!$A$5:$A$204,D30,Lotes!$S$5:$S$204,"?*")&gt;0,"Revisar cadastro do lote",IF(B30&lt;INDEX(Lotes!$E$5:$E$204,MATCH(D30,Lotes!$A$5:$A$204,0)),"Movimento anterior ao recebimento",IF(OR(NOT(ISNUMBER(G30)),G30&lt;=0),"Quantidade ausente ou inválida",""))))))))</x:f>
      </x:c>
      <x:c r="P30" s="163" t="n">
        <x:f>IF(O30="",0,1)</x:f>
        <x:v>0</x:v>
      </x:c>
      <x:c r="Q30" s="163" t="n">
        <x:f>IF(COUNTA(A30:D30,G30,K30:N30)=0,0,IF(OR(Listas!$B$19="Todos",E30=Listas!$B$19,E30="",COUNTIFS(Lotes!$A$5:$A$204,D30)&lt;&gt;1),1,0))</x:f>
        <x:v>0</x:v>
      </x:c>
      <x:c r="R30" s="1"/>
      <x:c r="S30" s="1"/>
      <x:c r="T30" s="1"/>
      <x:c r="U30" s="1"/>
      <x:c r="V30" s="1"/>
      <x:c r="W30" s="1"/>
    </x:row>
    <x:row r="31" ht="32" customHeight="1">
      <x:c r="A31" s="170"/>
      <x:c r="B31" s="179"/>
      <x:c r="C31" s="170"/>
      <x:c r="D31" s="170"/>
      <x:c r="E31" s="40" t="str">
        <x:f>IF($D31="","",IFERROR(INDEX(Lotes!$B$5:$B$204,MATCH($D31,Lotes!$A$5:$A$204,0)),""))</x:f>
      </x:c>
      <x:c r="F31" s="40" t="str">
        <x:f>IF($D31="","",IFERROR(INDEX(Lotes!$C$5:$C$204,MATCH($D31,Lotes!$A$5:$A$204,0)),""))</x:f>
      </x:c>
      <x:c r="G31" s="27"/>
      <x:c r="H31" s="40" t="str">
        <x:f>IF(A31="","",IF(O31&lt;&gt;"","n.a.",IF(OR(C31="Saída",C31="Perda",C31="Ajuste negativo"),-G31,G31)))</x:f>
      </x:c>
      <x:c r="I31" s="181" t="str">
        <x:f>IF($D31="","",IFERROR(INDEX(Lotes!$K$5:$K$204,MATCH($D31,Lotes!$A$5:$A$204,0)),0))</x:f>
      </x:c>
      <x:c r="J31" s="181" t="str">
        <x:f>IF(A31="","",IF(O31&lt;&gt;"","n.a.",ABS(H31)*I31))</x:f>
      </x:c>
      <x:c r="K31" s="27"/>
      <x:c r="L31" s="27"/>
      <x:c r="M31" s="27"/>
      <x:c r="N31" s="27"/>
      <x:c r="O31" s="163" t="str">
        <x:f>IF(COUNTA(A31:D31,G31,K31:N31)=0,"",IF(OR(A31="",COUNTIFS($A$5:$A$304,A31)&lt;&gt;1),"ID ausente ou duplicado",IF(OR(NOT(ISNUMBER(B31)),B31&lt;=0),"Data ausente ou inválida",IF(AND(C31&lt;&gt;"Entrada",C31&lt;&gt;"Saída",C31&lt;&gt;"Perda",C31&lt;&gt;"Ajuste positivo",C31&lt;&gt;"Ajuste negativo"),"Tipo de movimento inválido",IF(OR(D31="",COUNTIFS(Lotes!$A$5:$A$204,D31)&lt;&gt;1),"Lote ausente ou desconhecido",IF(COUNTIFS(Lotes!$A$5:$A$204,D31,Lotes!$S$5:$S$204,"?*")&gt;0,"Revisar cadastro do lote",IF(B31&lt;INDEX(Lotes!$E$5:$E$204,MATCH(D31,Lotes!$A$5:$A$204,0)),"Movimento anterior ao recebimento",IF(OR(NOT(ISNUMBER(G31)),G31&lt;=0),"Quantidade ausente ou inválida",""))))))))</x:f>
      </x:c>
      <x:c r="P31" s="163" t="n">
        <x:f>IF(O31="",0,1)</x:f>
        <x:v>0</x:v>
      </x:c>
      <x:c r="Q31" s="163" t="n">
        <x:f>IF(COUNTA(A31:D31,G31,K31:N31)=0,0,IF(OR(Listas!$B$19="Todos",E31=Listas!$B$19,E31="",COUNTIFS(Lotes!$A$5:$A$204,D31)&lt;&gt;1),1,0))</x:f>
        <x:v>0</x:v>
      </x:c>
      <x:c r="R31" s="1"/>
      <x:c r="S31" s="1"/>
      <x:c r="T31" s="1"/>
      <x:c r="U31" s="1"/>
      <x:c r="V31" s="1"/>
      <x:c r="W31" s="1"/>
    </x:row>
    <x:row r="32" ht="32" customHeight="1">
      <x:c r="A32" s="170"/>
      <x:c r="B32" s="179"/>
      <x:c r="C32" s="170"/>
      <x:c r="D32" s="170"/>
      <x:c r="E32" s="40" t="str">
        <x:f>IF($D32="","",IFERROR(INDEX(Lotes!$B$5:$B$204,MATCH($D32,Lotes!$A$5:$A$204,0)),""))</x:f>
      </x:c>
      <x:c r="F32" s="40" t="str">
        <x:f>IF($D32="","",IFERROR(INDEX(Lotes!$C$5:$C$204,MATCH($D32,Lotes!$A$5:$A$204,0)),""))</x:f>
      </x:c>
      <x:c r="G32" s="27"/>
      <x:c r="H32" s="40" t="str">
        <x:f>IF(A32="","",IF(O32&lt;&gt;"","n.a.",IF(OR(C32="Saída",C32="Perda",C32="Ajuste negativo"),-G32,G32)))</x:f>
      </x:c>
      <x:c r="I32" s="181" t="str">
        <x:f>IF($D32="","",IFERROR(INDEX(Lotes!$K$5:$K$204,MATCH($D32,Lotes!$A$5:$A$204,0)),0))</x:f>
      </x:c>
      <x:c r="J32" s="181" t="str">
        <x:f>IF(A32="","",IF(O32&lt;&gt;"","n.a.",ABS(H32)*I32))</x:f>
      </x:c>
      <x:c r="K32" s="27"/>
      <x:c r="L32" s="27"/>
      <x:c r="M32" s="27"/>
      <x:c r="N32" s="27"/>
      <x:c r="O32" s="163" t="str">
        <x:f>IF(COUNTA(A32:D32,G32,K32:N32)=0,"",IF(OR(A32="",COUNTIFS($A$5:$A$304,A32)&lt;&gt;1),"ID ausente ou duplicado",IF(OR(NOT(ISNUMBER(B32)),B32&lt;=0),"Data ausente ou inválida",IF(AND(C32&lt;&gt;"Entrada",C32&lt;&gt;"Saída",C32&lt;&gt;"Perda",C32&lt;&gt;"Ajuste positivo",C32&lt;&gt;"Ajuste negativo"),"Tipo de movimento inválido",IF(OR(D32="",COUNTIFS(Lotes!$A$5:$A$204,D32)&lt;&gt;1),"Lote ausente ou desconhecido",IF(COUNTIFS(Lotes!$A$5:$A$204,D32,Lotes!$S$5:$S$204,"?*")&gt;0,"Revisar cadastro do lote",IF(B32&lt;INDEX(Lotes!$E$5:$E$204,MATCH(D32,Lotes!$A$5:$A$204,0)),"Movimento anterior ao recebimento",IF(OR(NOT(ISNUMBER(G32)),G32&lt;=0),"Quantidade ausente ou inválida",""))))))))</x:f>
      </x:c>
      <x:c r="P32" s="163" t="n">
        <x:f>IF(O32="",0,1)</x:f>
        <x:v>0</x:v>
      </x:c>
      <x:c r="Q32" s="163" t="n">
        <x:f>IF(COUNTA(A32:D32,G32,K32:N32)=0,0,IF(OR(Listas!$B$19="Todos",E32=Listas!$B$19,E32="",COUNTIFS(Lotes!$A$5:$A$204,D32)&lt;&gt;1),1,0))</x:f>
        <x:v>0</x:v>
      </x:c>
      <x:c r="R32" s="1"/>
      <x:c r="S32" s="1"/>
      <x:c r="T32" s="1"/>
      <x:c r="U32" s="1"/>
      <x:c r="V32" s="1"/>
      <x:c r="W32" s="1"/>
    </x:row>
    <x:row r="33" ht="32" customHeight="1">
      <x:c r="A33" s="170"/>
      <x:c r="B33" s="179"/>
      <x:c r="C33" s="170"/>
      <x:c r="D33" s="170"/>
      <x:c r="E33" s="40" t="str">
        <x:f>IF($D33="","",IFERROR(INDEX(Lotes!$B$5:$B$204,MATCH($D33,Lotes!$A$5:$A$204,0)),""))</x:f>
      </x:c>
      <x:c r="F33" s="40" t="str">
        <x:f>IF($D33="","",IFERROR(INDEX(Lotes!$C$5:$C$204,MATCH($D33,Lotes!$A$5:$A$204,0)),""))</x:f>
      </x:c>
      <x:c r="G33" s="27"/>
      <x:c r="H33" s="40" t="str">
        <x:f>IF(A33="","",IF(O33&lt;&gt;"","n.a.",IF(OR(C33="Saída",C33="Perda",C33="Ajuste negativo"),-G33,G33)))</x:f>
      </x:c>
      <x:c r="I33" s="181" t="str">
        <x:f>IF($D33="","",IFERROR(INDEX(Lotes!$K$5:$K$204,MATCH($D33,Lotes!$A$5:$A$204,0)),0))</x:f>
      </x:c>
      <x:c r="J33" s="181" t="str">
        <x:f>IF(A33="","",IF(O33&lt;&gt;"","n.a.",ABS(H33)*I33))</x:f>
      </x:c>
      <x:c r="K33" s="27"/>
      <x:c r="L33" s="27"/>
      <x:c r="M33" s="27"/>
      <x:c r="N33" s="27"/>
      <x:c r="O33" s="163" t="str">
        <x:f>IF(COUNTA(A33:D33,G33,K33:N33)=0,"",IF(OR(A33="",COUNTIFS($A$5:$A$304,A33)&lt;&gt;1),"ID ausente ou duplicado",IF(OR(NOT(ISNUMBER(B33)),B33&lt;=0),"Data ausente ou inválida",IF(AND(C33&lt;&gt;"Entrada",C33&lt;&gt;"Saída",C33&lt;&gt;"Perda",C33&lt;&gt;"Ajuste positivo",C33&lt;&gt;"Ajuste negativo"),"Tipo de movimento inválido",IF(OR(D33="",COUNTIFS(Lotes!$A$5:$A$204,D33)&lt;&gt;1),"Lote ausente ou desconhecido",IF(COUNTIFS(Lotes!$A$5:$A$204,D33,Lotes!$S$5:$S$204,"?*")&gt;0,"Revisar cadastro do lote",IF(B33&lt;INDEX(Lotes!$E$5:$E$204,MATCH(D33,Lotes!$A$5:$A$204,0)),"Movimento anterior ao recebimento",IF(OR(NOT(ISNUMBER(G33)),G33&lt;=0),"Quantidade ausente ou inválida",""))))))))</x:f>
      </x:c>
      <x:c r="P33" s="163" t="n">
        <x:f>IF(O33="",0,1)</x:f>
        <x:v>0</x:v>
      </x:c>
      <x:c r="Q33" s="163" t="n">
        <x:f>IF(COUNTA(A33:D33,G33,K33:N33)=0,0,IF(OR(Listas!$B$19="Todos",E33=Listas!$B$19,E33="",COUNTIFS(Lotes!$A$5:$A$204,D33)&lt;&gt;1),1,0))</x:f>
        <x:v>0</x:v>
      </x:c>
      <x:c r="R33" s="1"/>
      <x:c r="S33" s="1"/>
      <x:c r="T33" s="1"/>
      <x:c r="U33" s="1"/>
      <x:c r="V33" s="1"/>
      <x:c r="W33" s="1"/>
    </x:row>
    <x:row r="34" ht="32" customHeight="1">
      <x:c r="A34" s="170"/>
      <x:c r="B34" s="179"/>
      <x:c r="C34" s="170"/>
      <x:c r="D34" s="170"/>
      <x:c r="E34" s="40" t="str">
        <x:f>IF($D34="","",IFERROR(INDEX(Lotes!$B$5:$B$204,MATCH($D34,Lotes!$A$5:$A$204,0)),""))</x:f>
      </x:c>
      <x:c r="F34" s="40" t="str">
        <x:f>IF($D34="","",IFERROR(INDEX(Lotes!$C$5:$C$204,MATCH($D34,Lotes!$A$5:$A$204,0)),""))</x:f>
      </x:c>
      <x:c r="G34" s="27"/>
      <x:c r="H34" s="40" t="str">
        <x:f>IF(A34="","",IF(O34&lt;&gt;"","n.a.",IF(OR(C34="Saída",C34="Perda",C34="Ajuste negativo"),-G34,G34)))</x:f>
      </x:c>
      <x:c r="I34" s="181" t="str">
        <x:f>IF($D34="","",IFERROR(INDEX(Lotes!$K$5:$K$204,MATCH($D34,Lotes!$A$5:$A$204,0)),0))</x:f>
      </x:c>
      <x:c r="J34" s="181" t="str">
        <x:f>IF(A34="","",IF(O34&lt;&gt;"","n.a.",ABS(H34)*I34))</x:f>
      </x:c>
      <x:c r="K34" s="27"/>
      <x:c r="L34" s="27"/>
      <x:c r="M34" s="27"/>
      <x:c r="N34" s="27"/>
      <x:c r="O34" s="163" t="str">
        <x:f>IF(COUNTA(A34:D34,G34,K34:N34)=0,"",IF(OR(A34="",COUNTIFS($A$5:$A$304,A34)&lt;&gt;1),"ID ausente ou duplicado",IF(OR(NOT(ISNUMBER(B34)),B34&lt;=0),"Data ausente ou inválida",IF(AND(C34&lt;&gt;"Entrada",C34&lt;&gt;"Saída",C34&lt;&gt;"Perda",C34&lt;&gt;"Ajuste positivo",C34&lt;&gt;"Ajuste negativo"),"Tipo de movimento inválido",IF(OR(D34="",COUNTIFS(Lotes!$A$5:$A$204,D34)&lt;&gt;1),"Lote ausente ou desconhecido",IF(COUNTIFS(Lotes!$A$5:$A$204,D34,Lotes!$S$5:$S$204,"?*")&gt;0,"Revisar cadastro do lote",IF(B34&lt;INDEX(Lotes!$E$5:$E$204,MATCH(D34,Lotes!$A$5:$A$204,0)),"Movimento anterior ao recebimento",IF(OR(NOT(ISNUMBER(G34)),G34&lt;=0),"Quantidade ausente ou inválida",""))))))))</x:f>
      </x:c>
      <x:c r="P34" s="163" t="n">
        <x:f>IF(O34="",0,1)</x:f>
        <x:v>0</x:v>
      </x:c>
      <x:c r="Q34" s="163" t="n">
        <x:f>IF(COUNTA(A34:D34,G34,K34:N34)=0,0,IF(OR(Listas!$B$19="Todos",E34=Listas!$B$19,E34="",COUNTIFS(Lotes!$A$5:$A$204,D34)&lt;&gt;1),1,0))</x:f>
        <x:v>0</x:v>
      </x:c>
      <x:c r="R34" s="1"/>
      <x:c r="S34" s="1"/>
      <x:c r="T34" s="1"/>
      <x:c r="U34" s="1"/>
      <x:c r="V34" s="1"/>
      <x:c r="W34" s="1"/>
    </x:row>
    <x:row r="35" ht="32" customHeight="1">
      <x:c r="A35" s="170"/>
      <x:c r="B35" s="179"/>
      <x:c r="C35" s="170"/>
      <x:c r="D35" s="170"/>
      <x:c r="E35" s="40" t="str">
        <x:f>IF($D35="","",IFERROR(INDEX(Lotes!$B$5:$B$204,MATCH($D35,Lotes!$A$5:$A$204,0)),""))</x:f>
      </x:c>
      <x:c r="F35" s="40" t="str">
        <x:f>IF($D35="","",IFERROR(INDEX(Lotes!$C$5:$C$204,MATCH($D35,Lotes!$A$5:$A$204,0)),""))</x:f>
      </x:c>
      <x:c r="G35" s="27"/>
      <x:c r="H35" s="40" t="str">
        <x:f>IF(A35="","",IF(O35&lt;&gt;"","n.a.",IF(OR(C35="Saída",C35="Perda",C35="Ajuste negativo"),-G35,G35)))</x:f>
      </x:c>
      <x:c r="I35" s="181" t="str">
        <x:f>IF($D35="","",IFERROR(INDEX(Lotes!$K$5:$K$204,MATCH($D35,Lotes!$A$5:$A$204,0)),0))</x:f>
      </x:c>
      <x:c r="J35" s="181" t="str">
        <x:f>IF(A35="","",IF(O35&lt;&gt;"","n.a.",ABS(H35)*I35))</x:f>
      </x:c>
      <x:c r="K35" s="27"/>
      <x:c r="L35" s="27"/>
      <x:c r="M35" s="27"/>
      <x:c r="N35" s="27"/>
      <x:c r="O35" s="163" t="str">
        <x:f>IF(COUNTA(A35:D35,G35,K35:N35)=0,"",IF(OR(A35="",COUNTIFS($A$5:$A$304,A35)&lt;&gt;1),"ID ausente ou duplicado",IF(OR(NOT(ISNUMBER(B35)),B35&lt;=0),"Data ausente ou inválida",IF(AND(C35&lt;&gt;"Entrada",C35&lt;&gt;"Saída",C35&lt;&gt;"Perda",C35&lt;&gt;"Ajuste positivo",C35&lt;&gt;"Ajuste negativo"),"Tipo de movimento inválido",IF(OR(D35="",COUNTIFS(Lotes!$A$5:$A$204,D35)&lt;&gt;1),"Lote ausente ou desconhecido",IF(COUNTIFS(Lotes!$A$5:$A$204,D35,Lotes!$S$5:$S$204,"?*")&gt;0,"Revisar cadastro do lote",IF(B35&lt;INDEX(Lotes!$E$5:$E$204,MATCH(D35,Lotes!$A$5:$A$204,0)),"Movimento anterior ao recebimento",IF(OR(NOT(ISNUMBER(G35)),G35&lt;=0),"Quantidade ausente ou inválida",""))))))))</x:f>
      </x:c>
      <x:c r="P35" s="163" t="n">
        <x:f>IF(O35="",0,1)</x:f>
        <x:v>0</x:v>
      </x:c>
      <x:c r="Q35" s="163" t="n">
        <x:f>IF(COUNTA(A35:D35,G35,K35:N35)=0,0,IF(OR(Listas!$B$19="Todos",E35=Listas!$B$19,E35="",COUNTIFS(Lotes!$A$5:$A$204,D35)&lt;&gt;1),1,0))</x:f>
        <x:v>0</x:v>
      </x:c>
      <x:c r="R35" s="1"/>
      <x:c r="S35" s="1"/>
      <x:c r="T35" s="1"/>
      <x:c r="U35" s="1"/>
      <x:c r="V35" s="1"/>
      <x:c r="W35" s="1"/>
    </x:row>
    <x:row r="36" ht="32" customHeight="1">
      <x:c r="A36" s="170"/>
      <x:c r="B36" s="179"/>
      <x:c r="C36" s="170"/>
      <x:c r="D36" s="170"/>
      <x:c r="E36" s="40" t="str">
        <x:f>IF($D36="","",IFERROR(INDEX(Lotes!$B$5:$B$204,MATCH($D36,Lotes!$A$5:$A$204,0)),""))</x:f>
      </x:c>
      <x:c r="F36" s="40" t="str">
        <x:f>IF($D36="","",IFERROR(INDEX(Lotes!$C$5:$C$204,MATCH($D36,Lotes!$A$5:$A$204,0)),""))</x:f>
      </x:c>
      <x:c r="G36" s="27"/>
      <x:c r="H36" s="40" t="str">
        <x:f>IF(A36="","",IF(O36&lt;&gt;"","n.a.",IF(OR(C36="Saída",C36="Perda",C36="Ajuste negativo"),-G36,G36)))</x:f>
      </x:c>
      <x:c r="I36" s="181" t="str">
        <x:f>IF($D36="","",IFERROR(INDEX(Lotes!$K$5:$K$204,MATCH($D36,Lotes!$A$5:$A$204,0)),0))</x:f>
      </x:c>
      <x:c r="J36" s="181" t="str">
        <x:f>IF(A36="","",IF(O36&lt;&gt;"","n.a.",ABS(H36)*I36))</x:f>
      </x:c>
      <x:c r="K36" s="27"/>
      <x:c r="L36" s="27"/>
      <x:c r="M36" s="27"/>
      <x:c r="N36" s="27"/>
      <x:c r="O36" s="163" t="str">
        <x:f>IF(COUNTA(A36:D36,G36,K36:N36)=0,"",IF(OR(A36="",COUNTIFS($A$5:$A$304,A36)&lt;&gt;1),"ID ausente ou duplicado",IF(OR(NOT(ISNUMBER(B36)),B36&lt;=0),"Data ausente ou inválida",IF(AND(C36&lt;&gt;"Entrada",C36&lt;&gt;"Saída",C36&lt;&gt;"Perda",C36&lt;&gt;"Ajuste positivo",C36&lt;&gt;"Ajuste negativo"),"Tipo de movimento inválido",IF(OR(D36="",COUNTIFS(Lotes!$A$5:$A$204,D36)&lt;&gt;1),"Lote ausente ou desconhecido",IF(COUNTIFS(Lotes!$A$5:$A$204,D36,Lotes!$S$5:$S$204,"?*")&gt;0,"Revisar cadastro do lote",IF(B36&lt;INDEX(Lotes!$E$5:$E$204,MATCH(D36,Lotes!$A$5:$A$204,0)),"Movimento anterior ao recebimento",IF(OR(NOT(ISNUMBER(G36)),G36&lt;=0),"Quantidade ausente ou inválida",""))))))))</x:f>
      </x:c>
      <x:c r="P36" s="163" t="n">
        <x:f>IF(O36="",0,1)</x:f>
        <x:v>0</x:v>
      </x:c>
      <x:c r="Q36" s="163" t="n">
        <x:f>IF(COUNTA(A36:D36,G36,K36:N36)=0,0,IF(OR(Listas!$B$19="Todos",E36=Listas!$B$19,E36="",COUNTIFS(Lotes!$A$5:$A$204,D36)&lt;&gt;1),1,0))</x:f>
        <x:v>0</x:v>
      </x:c>
      <x:c r="R36" s="1"/>
      <x:c r="S36" s="1"/>
      <x:c r="T36" s="1"/>
      <x:c r="U36" s="1"/>
      <x:c r="V36" s="1"/>
      <x:c r="W36" s="1"/>
    </x:row>
    <x:row r="37" ht="32" customHeight="1">
      <x:c r="A37" s="170"/>
      <x:c r="B37" s="179"/>
      <x:c r="C37" s="170"/>
      <x:c r="D37" s="170"/>
      <x:c r="E37" s="40" t="str">
        <x:f>IF($D37="","",IFERROR(INDEX(Lotes!$B$5:$B$204,MATCH($D37,Lotes!$A$5:$A$204,0)),""))</x:f>
      </x:c>
      <x:c r="F37" s="40" t="str">
        <x:f>IF($D37="","",IFERROR(INDEX(Lotes!$C$5:$C$204,MATCH($D37,Lotes!$A$5:$A$204,0)),""))</x:f>
      </x:c>
      <x:c r="G37" s="27"/>
      <x:c r="H37" s="40" t="str">
        <x:f>IF(A37="","",IF(O37&lt;&gt;"","n.a.",IF(OR(C37="Saída",C37="Perda",C37="Ajuste negativo"),-G37,G37)))</x:f>
      </x:c>
      <x:c r="I37" s="181" t="str">
        <x:f>IF($D37="","",IFERROR(INDEX(Lotes!$K$5:$K$204,MATCH($D37,Lotes!$A$5:$A$204,0)),0))</x:f>
      </x:c>
      <x:c r="J37" s="181" t="str">
        <x:f>IF(A37="","",IF(O37&lt;&gt;"","n.a.",ABS(H37)*I37))</x:f>
      </x:c>
      <x:c r="K37" s="27"/>
      <x:c r="L37" s="27"/>
      <x:c r="M37" s="27"/>
      <x:c r="N37" s="27"/>
      <x:c r="O37" s="163" t="str">
        <x:f>IF(COUNTA(A37:D37,G37,K37:N37)=0,"",IF(OR(A37="",COUNTIFS($A$5:$A$304,A37)&lt;&gt;1),"ID ausente ou duplicado",IF(OR(NOT(ISNUMBER(B37)),B37&lt;=0),"Data ausente ou inválida",IF(AND(C37&lt;&gt;"Entrada",C37&lt;&gt;"Saída",C37&lt;&gt;"Perda",C37&lt;&gt;"Ajuste positivo",C37&lt;&gt;"Ajuste negativo"),"Tipo de movimento inválido",IF(OR(D37="",COUNTIFS(Lotes!$A$5:$A$204,D37)&lt;&gt;1),"Lote ausente ou desconhecido",IF(COUNTIFS(Lotes!$A$5:$A$204,D37,Lotes!$S$5:$S$204,"?*")&gt;0,"Revisar cadastro do lote",IF(B37&lt;INDEX(Lotes!$E$5:$E$204,MATCH(D37,Lotes!$A$5:$A$204,0)),"Movimento anterior ao recebimento",IF(OR(NOT(ISNUMBER(G37)),G37&lt;=0),"Quantidade ausente ou inválida",""))))))))</x:f>
      </x:c>
      <x:c r="P37" s="163" t="n">
        <x:f>IF(O37="",0,1)</x:f>
        <x:v>0</x:v>
      </x:c>
      <x:c r="Q37" s="163" t="n">
        <x:f>IF(COUNTA(A37:D37,G37,K37:N37)=0,0,IF(OR(Listas!$B$19="Todos",E37=Listas!$B$19,E37="",COUNTIFS(Lotes!$A$5:$A$204,D37)&lt;&gt;1),1,0))</x:f>
        <x:v>0</x:v>
      </x:c>
      <x:c r="R37" s="1"/>
      <x:c r="S37" s="1"/>
      <x:c r="T37" s="1"/>
      <x:c r="U37" s="1"/>
      <x:c r="V37" s="1"/>
      <x:c r="W37" s="1"/>
    </x:row>
    <x:row r="38" ht="32" customHeight="1">
      <x:c r="A38" s="170"/>
      <x:c r="B38" s="179"/>
      <x:c r="C38" s="170"/>
      <x:c r="D38" s="170"/>
      <x:c r="E38" s="40" t="str">
        <x:f>IF($D38="","",IFERROR(INDEX(Lotes!$B$5:$B$204,MATCH($D38,Lotes!$A$5:$A$204,0)),""))</x:f>
      </x:c>
      <x:c r="F38" s="40" t="str">
        <x:f>IF($D38="","",IFERROR(INDEX(Lotes!$C$5:$C$204,MATCH($D38,Lotes!$A$5:$A$204,0)),""))</x:f>
      </x:c>
      <x:c r="G38" s="27"/>
      <x:c r="H38" s="40" t="str">
        <x:f>IF(A38="","",IF(O38&lt;&gt;"","n.a.",IF(OR(C38="Saída",C38="Perda",C38="Ajuste negativo"),-G38,G38)))</x:f>
      </x:c>
      <x:c r="I38" s="181" t="str">
        <x:f>IF($D38="","",IFERROR(INDEX(Lotes!$K$5:$K$204,MATCH($D38,Lotes!$A$5:$A$204,0)),0))</x:f>
      </x:c>
      <x:c r="J38" s="181" t="str">
        <x:f>IF(A38="","",IF(O38&lt;&gt;"","n.a.",ABS(H38)*I38))</x:f>
      </x:c>
      <x:c r="K38" s="27"/>
      <x:c r="L38" s="27"/>
      <x:c r="M38" s="27"/>
      <x:c r="N38" s="27"/>
      <x:c r="O38" s="163" t="str">
        <x:f>IF(COUNTA(A38:D38,G38,K38:N38)=0,"",IF(OR(A38="",COUNTIFS($A$5:$A$304,A38)&lt;&gt;1),"ID ausente ou duplicado",IF(OR(NOT(ISNUMBER(B38)),B38&lt;=0),"Data ausente ou inválida",IF(AND(C38&lt;&gt;"Entrada",C38&lt;&gt;"Saída",C38&lt;&gt;"Perda",C38&lt;&gt;"Ajuste positivo",C38&lt;&gt;"Ajuste negativo"),"Tipo de movimento inválido",IF(OR(D38="",COUNTIFS(Lotes!$A$5:$A$204,D38)&lt;&gt;1),"Lote ausente ou desconhecido",IF(COUNTIFS(Lotes!$A$5:$A$204,D38,Lotes!$S$5:$S$204,"?*")&gt;0,"Revisar cadastro do lote",IF(B38&lt;INDEX(Lotes!$E$5:$E$204,MATCH(D38,Lotes!$A$5:$A$204,0)),"Movimento anterior ao recebimento",IF(OR(NOT(ISNUMBER(G38)),G38&lt;=0),"Quantidade ausente ou inválida",""))))))))</x:f>
      </x:c>
      <x:c r="P38" s="163" t="n">
        <x:f>IF(O38="",0,1)</x:f>
        <x:v>0</x:v>
      </x:c>
      <x:c r="Q38" s="163" t="n">
        <x:f>IF(COUNTA(A38:D38,G38,K38:N38)=0,0,IF(OR(Listas!$B$19="Todos",E38=Listas!$B$19,E38="",COUNTIFS(Lotes!$A$5:$A$204,D38)&lt;&gt;1),1,0))</x:f>
        <x:v>0</x:v>
      </x:c>
      <x:c r="R38" s="1"/>
      <x:c r="S38" s="1"/>
      <x:c r="T38" s="1"/>
      <x:c r="U38" s="1"/>
      <x:c r="V38" s="1"/>
      <x:c r="W38" s="1"/>
    </x:row>
    <x:row r="39" ht="32" customHeight="1">
      <x:c r="A39" s="170"/>
      <x:c r="B39" s="179"/>
      <x:c r="C39" s="170"/>
      <x:c r="D39" s="170"/>
      <x:c r="E39" s="40" t="str">
        <x:f>IF($D39="","",IFERROR(INDEX(Lotes!$B$5:$B$204,MATCH($D39,Lotes!$A$5:$A$204,0)),""))</x:f>
      </x:c>
      <x:c r="F39" s="40" t="str">
        <x:f>IF($D39="","",IFERROR(INDEX(Lotes!$C$5:$C$204,MATCH($D39,Lotes!$A$5:$A$204,0)),""))</x:f>
      </x:c>
      <x:c r="G39" s="27"/>
      <x:c r="H39" s="40" t="str">
        <x:f>IF(A39="","",IF(O39&lt;&gt;"","n.a.",IF(OR(C39="Saída",C39="Perda",C39="Ajuste negativo"),-G39,G39)))</x:f>
      </x:c>
      <x:c r="I39" s="181" t="str">
        <x:f>IF($D39="","",IFERROR(INDEX(Lotes!$K$5:$K$204,MATCH($D39,Lotes!$A$5:$A$204,0)),0))</x:f>
      </x:c>
      <x:c r="J39" s="181" t="str">
        <x:f>IF(A39="","",IF(O39&lt;&gt;"","n.a.",ABS(H39)*I39))</x:f>
      </x:c>
      <x:c r="K39" s="27"/>
      <x:c r="L39" s="27"/>
      <x:c r="M39" s="27"/>
      <x:c r="N39" s="27"/>
      <x:c r="O39" s="163" t="str">
        <x:f>IF(COUNTA(A39:D39,G39,K39:N39)=0,"",IF(OR(A39="",COUNTIFS($A$5:$A$304,A39)&lt;&gt;1),"ID ausente ou duplicado",IF(OR(NOT(ISNUMBER(B39)),B39&lt;=0),"Data ausente ou inválida",IF(AND(C39&lt;&gt;"Entrada",C39&lt;&gt;"Saída",C39&lt;&gt;"Perda",C39&lt;&gt;"Ajuste positivo",C39&lt;&gt;"Ajuste negativo"),"Tipo de movimento inválido",IF(OR(D39="",COUNTIFS(Lotes!$A$5:$A$204,D39)&lt;&gt;1),"Lote ausente ou desconhecido",IF(COUNTIFS(Lotes!$A$5:$A$204,D39,Lotes!$S$5:$S$204,"?*")&gt;0,"Revisar cadastro do lote",IF(B39&lt;INDEX(Lotes!$E$5:$E$204,MATCH(D39,Lotes!$A$5:$A$204,0)),"Movimento anterior ao recebimento",IF(OR(NOT(ISNUMBER(G39)),G39&lt;=0),"Quantidade ausente ou inválida",""))))))))</x:f>
      </x:c>
      <x:c r="P39" s="163" t="n">
        <x:f>IF(O39="",0,1)</x:f>
        <x:v>0</x:v>
      </x:c>
      <x:c r="Q39" s="163" t="n">
        <x:f>IF(COUNTA(A39:D39,G39,K39:N39)=0,0,IF(OR(Listas!$B$19="Todos",E39=Listas!$B$19,E39="",COUNTIFS(Lotes!$A$5:$A$204,D39)&lt;&gt;1),1,0))</x:f>
        <x:v>0</x:v>
      </x:c>
      <x:c r="R39" s="1"/>
      <x:c r="S39" s="1"/>
      <x:c r="T39" s="1"/>
      <x:c r="U39" s="1"/>
      <x:c r="V39" s="1"/>
      <x:c r="W39" s="1"/>
    </x:row>
    <x:row r="40" ht="32" customHeight="1">
      <x:c r="A40" s="170"/>
      <x:c r="B40" s="179"/>
      <x:c r="C40" s="170"/>
      <x:c r="D40" s="170"/>
      <x:c r="E40" s="40" t="str">
        <x:f>IF($D40="","",IFERROR(INDEX(Lotes!$B$5:$B$204,MATCH($D40,Lotes!$A$5:$A$204,0)),""))</x:f>
      </x:c>
      <x:c r="F40" s="40" t="str">
        <x:f>IF($D40="","",IFERROR(INDEX(Lotes!$C$5:$C$204,MATCH($D40,Lotes!$A$5:$A$204,0)),""))</x:f>
      </x:c>
      <x:c r="G40" s="27"/>
      <x:c r="H40" s="40" t="str">
        <x:f>IF(A40="","",IF(O40&lt;&gt;"","n.a.",IF(OR(C40="Saída",C40="Perda",C40="Ajuste negativo"),-G40,G40)))</x:f>
      </x:c>
      <x:c r="I40" s="181" t="str">
        <x:f>IF($D40="","",IFERROR(INDEX(Lotes!$K$5:$K$204,MATCH($D40,Lotes!$A$5:$A$204,0)),0))</x:f>
      </x:c>
      <x:c r="J40" s="181" t="str">
        <x:f>IF(A40="","",IF(O40&lt;&gt;"","n.a.",ABS(H40)*I40))</x:f>
      </x:c>
      <x:c r="K40" s="27"/>
      <x:c r="L40" s="27"/>
      <x:c r="M40" s="27"/>
      <x:c r="N40" s="27"/>
      <x:c r="O40" s="163" t="str">
        <x:f>IF(COUNTA(A40:D40,G40,K40:N40)=0,"",IF(OR(A40="",COUNTIFS($A$5:$A$304,A40)&lt;&gt;1),"ID ausente ou duplicado",IF(OR(NOT(ISNUMBER(B40)),B40&lt;=0),"Data ausente ou inválida",IF(AND(C40&lt;&gt;"Entrada",C40&lt;&gt;"Saída",C40&lt;&gt;"Perda",C40&lt;&gt;"Ajuste positivo",C40&lt;&gt;"Ajuste negativo"),"Tipo de movimento inválido",IF(OR(D40="",COUNTIFS(Lotes!$A$5:$A$204,D40)&lt;&gt;1),"Lote ausente ou desconhecido",IF(COUNTIFS(Lotes!$A$5:$A$204,D40,Lotes!$S$5:$S$204,"?*")&gt;0,"Revisar cadastro do lote",IF(B40&lt;INDEX(Lotes!$E$5:$E$204,MATCH(D40,Lotes!$A$5:$A$204,0)),"Movimento anterior ao recebimento",IF(OR(NOT(ISNUMBER(G40)),G40&lt;=0),"Quantidade ausente ou inválida",""))))))))</x:f>
      </x:c>
      <x:c r="P40" s="163" t="n">
        <x:f>IF(O40="",0,1)</x:f>
        <x:v>0</x:v>
      </x:c>
      <x:c r="Q40" s="163" t="n">
        <x:f>IF(COUNTA(A40:D40,G40,K40:N40)=0,0,IF(OR(Listas!$B$19="Todos",E40=Listas!$B$19,E40="",COUNTIFS(Lotes!$A$5:$A$204,D40)&lt;&gt;1),1,0))</x:f>
        <x:v>0</x:v>
      </x:c>
      <x:c r="R40" s="1"/>
      <x:c r="S40" s="1"/>
      <x:c r="T40" s="1"/>
      <x:c r="U40" s="1"/>
      <x:c r="V40" s="1"/>
      <x:c r="W40" s="1"/>
    </x:row>
    <x:row r="41" ht="32" customHeight="1">
      <x:c r="A41" s="170"/>
      <x:c r="B41" s="179"/>
      <x:c r="C41" s="170"/>
      <x:c r="D41" s="170"/>
      <x:c r="E41" s="40" t="str">
        <x:f>IF($D41="","",IFERROR(INDEX(Lotes!$B$5:$B$204,MATCH($D41,Lotes!$A$5:$A$204,0)),""))</x:f>
      </x:c>
      <x:c r="F41" s="40" t="str">
        <x:f>IF($D41="","",IFERROR(INDEX(Lotes!$C$5:$C$204,MATCH($D41,Lotes!$A$5:$A$204,0)),""))</x:f>
      </x:c>
      <x:c r="G41" s="27"/>
      <x:c r="H41" s="40" t="str">
        <x:f>IF(A41="","",IF(O41&lt;&gt;"","n.a.",IF(OR(C41="Saída",C41="Perda",C41="Ajuste negativo"),-G41,G41)))</x:f>
      </x:c>
      <x:c r="I41" s="181" t="str">
        <x:f>IF($D41="","",IFERROR(INDEX(Lotes!$K$5:$K$204,MATCH($D41,Lotes!$A$5:$A$204,0)),0))</x:f>
      </x:c>
      <x:c r="J41" s="181" t="str">
        <x:f>IF(A41="","",IF(O41&lt;&gt;"","n.a.",ABS(H41)*I41))</x:f>
      </x:c>
      <x:c r="K41" s="27"/>
      <x:c r="L41" s="27"/>
      <x:c r="M41" s="27"/>
      <x:c r="N41" s="27"/>
      <x:c r="O41" s="163" t="str">
        <x:f>IF(COUNTA(A41:D41,G41,K41:N41)=0,"",IF(OR(A41="",COUNTIFS($A$5:$A$304,A41)&lt;&gt;1),"ID ausente ou duplicado",IF(OR(NOT(ISNUMBER(B41)),B41&lt;=0),"Data ausente ou inválida",IF(AND(C41&lt;&gt;"Entrada",C41&lt;&gt;"Saída",C41&lt;&gt;"Perda",C41&lt;&gt;"Ajuste positivo",C41&lt;&gt;"Ajuste negativo"),"Tipo de movimento inválido",IF(OR(D41="",COUNTIFS(Lotes!$A$5:$A$204,D41)&lt;&gt;1),"Lote ausente ou desconhecido",IF(COUNTIFS(Lotes!$A$5:$A$204,D41,Lotes!$S$5:$S$204,"?*")&gt;0,"Revisar cadastro do lote",IF(B41&lt;INDEX(Lotes!$E$5:$E$204,MATCH(D41,Lotes!$A$5:$A$204,0)),"Movimento anterior ao recebimento",IF(OR(NOT(ISNUMBER(G41)),G41&lt;=0),"Quantidade ausente ou inválida",""))))))))</x:f>
      </x:c>
      <x:c r="P41" s="163" t="n">
        <x:f>IF(O41="",0,1)</x:f>
        <x:v>0</x:v>
      </x:c>
      <x:c r="Q41" s="163" t="n">
        <x:f>IF(COUNTA(A41:D41,G41,K41:N41)=0,0,IF(OR(Listas!$B$19="Todos",E41=Listas!$B$19,E41="",COUNTIFS(Lotes!$A$5:$A$204,D41)&lt;&gt;1),1,0))</x:f>
        <x:v>0</x:v>
      </x:c>
      <x:c r="R41" s="1"/>
      <x:c r="S41" s="1"/>
      <x:c r="T41" s="1"/>
      <x:c r="U41" s="1"/>
      <x:c r="V41" s="1"/>
      <x:c r="W41" s="1"/>
    </x:row>
    <x:row r="42" ht="32" customHeight="1">
      <x:c r="A42" s="170"/>
      <x:c r="B42" s="179"/>
      <x:c r="C42" s="170"/>
      <x:c r="D42" s="170"/>
      <x:c r="E42" s="40" t="str">
        <x:f>IF($D42="","",IFERROR(INDEX(Lotes!$B$5:$B$204,MATCH($D42,Lotes!$A$5:$A$204,0)),""))</x:f>
      </x:c>
      <x:c r="F42" s="40" t="str">
        <x:f>IF($D42="","",IFERROR(INDEX(Lotes!$C$5:$C$204,MATCH($D42,Lotes!$A$5:$A$204,0)),""))</x:f>
      </x:c>
      <x:c r="G42" s="27"/>
      <x:c r="H42" s="40" t="str">
        <x:f>IF(A42="","",IF(O42&lt;&gt;"","n.a.",IF(OR(C42="Saída",C42="Perda",C42="Ajuste negativo"),-G42,G42)))</x:f>
      </x:c>
      <x:c r="I42" s="181" t="str">
        <x:f>IF($D42="","",IFERROR(INDEX(Lotes!$K$5:$K$204,MATCH($D42,Lotes!$A$5:$A$204,0)),0))</x:f>
      </x:c>
      <x:c r="J42" s="181" t="str">
        <x:f>IF(A42="","",IF(O42&lt;&gt;"","n.a.",ABS(H42)*I42))</x:f>
      </x:c>
      <x:c r="K42" s="27"/>
      <x:c r="L42" s="27"/>
      <x:c r="M42" s="27"/>
      <x:c r="N42" s="27"/>
      <x:c r="O42" s="163" t="str">
        <x:f>IF(COUNTA(A42:D42,G42,K42:N42)=0,"",IF(OR(A42="",COUNTIFS($A$5:$A$304,A42)&lt;&gt;1),"ID ausente ou duplicado",IF(OR(NOT(ISNUMBER(B42)),B42&lt;=0),"Data ausente ou inválida",IF(AND(C42&lt;&gt;"Entrada",C42&lt;&gt;"Saída",C42&lt;&gt;"Perda",C42&lt;&gt;"Ajuste positivo",C42&lt;&gt;"Ajuste negativo"),"Tipo de movimento inválido",IF(OR(D42="",COUNTIFS(Lotes!$A$5:$A$204,D42)&lt;&gt;1),"Lote ausente ou desconhecido",IF(COUNTIFS(Lotes!$A$5:$A$204,D42,Lotes!$S$5:$S$204,"?*")&gt;0,"Revisar cadastro do lote",IF(B42&lt;INDEX(Lotes!$E$5:$E$204,MATCH(D42,Lotes!$A$5:$A$204,0)),"Movimento anterior ao recebimento",IF(OR(NOT(ISNUMBER(G42)),G42&lt;=0),"Quantidade ausente ou inválida",""))))))))</x:f>
      </x:c>
      <x:c r="P42" s="163" t="n">
        <x:f>IF(O42="",0,1)</x:f>
        <x:v>0</x:v>
      </x:c>
      <x:c r="Q42" s="163" t="n">
        <x:f>IF(COUNTA(A42:D42,G42,K42:N42)=0,0,IF(OR(Listas!$B$19="Todos",E42=Listas!$B$19,E42="",COUNTIFS(Lotes!$A$5:$A$204,D42)&lt;&gt;1),1,0))</x:f>
        <x:v>0</x:v>
      </x:c>
      <x:c r="R42" s="1"/>
      <x:c r="S42" s="1"/>
      <x:c r="T42" s="1"/>
      <x:c r="U42" s="1"/>
      <x:c r="V42" s="1"/>
      <x:c r="W42" s="1"/>
    </x:row>
    <x:row r="43" ht="32" customHeight="1">
      <x:c r="A43" s="170"/>
      <x:c r="B43" s="179"/>
      <x:c r="C43" s="170"/>
      <x:c r="D43" s="170"/>
      <x:c r="E43" s="40" t="str">
        <x:f>IF($D43="","",IFERROR(INDEX(Lotes!$B$5:$B$204,MATCH($D43,Lotes!$A$5:$A$204,0)),""))</x:f>
      </x:c>
      <x:c r="F43" s="40" t="str">
        <x:f>IF($D43="","",IFERROR(INDEX(Lotes!$C$5:$C$204,MATCH($D43,Lotes!$A$5:$A$204,0)),""))</x:f>
      </x:c>
      <x:c r="G43" s="27"/>
      <x:c r="H43" s="40" t="str">
        <x:f>IF(A43="","",IF(O43&lt;&gt;"","n.a.",IF(OR(C43="Saída",C43="Perda",C43="Ajuste negativo"),-G43,G43)))</x:f>
      </x:c>
      <x:c r="I43" s="181" t="str">
        <x:f>IF($D43="","",IFERROR(INDEX(Lotes!$K$5:$K$204,MATCH($D43,Lotes!$A$5:$A$204,0)),0))</x:f>
      </x:c>
      <x:c r="J43" s="181" t="str">
        <x:f>IF(A43="","",IF(O43&lt;&gt;"","n.a.",ABS(H43)*I43))</x:f>
      </x:c>
      <x:c r="K43" s="27"/>
      <x:c r="L43" s="27"/>
      <x:c r="M43" s="27"/>
      <x:c r="N43" s="27"/>
      <x:c r="O43" s="163" t="str">
        <x:f>IF(COUNTA(A43:D43,G43,K43:N43)=0,"",IF(OR(A43="",COUNTIFS($A$5:$A$304,A43)&lt;&gt;1),"ID ausente ou duplicado",IF(OR(NOT(ISNUMBER(B43)),B43&lt;=0),"Data ausente ou inválida",IF(AND(C43&lt;&gt;"Entrada",C43&lt;&gt;"Saída",C43&lt;&gt;"Perda",C43&lt;&gt;"Ajuste positivo",C43&lt;&gt;"Ajuste negativo"),"Tipo de movimento inválido",IF(OR(D43="",COUNTIFS(Lotes!$A$5:$A$204,D43)&lt;&gt;1),"Lote ausente ou desconhecido",IF(COUNTIFS(Lotes!$A$5:$A$204,D43,Lotes!$S$5:$S$204,"?*")&gt;0,"Revisar cadastro do lote",IF(B43&lt;INDEX(Lotes!$E$5:$E$204,MATCH(D43,Lotes!$A$5:$A$204,0)),"Movimento anterior ao recebimento",IF(OR(NOT(ISNUMBER(G43)),G43&lt;=0),"Quantidade ausente ou inválida",""))))))))</x:f>
      </x:c>
      <x:c r="P43" s="163" t="n">
        <x:f>IF(O43="",0,1)</x:f>
        <x:v>0</x:v>
      </x:c>
      <x:c r="Q43" s="163" t="n">
        <x:f>IF(COUNTA(A43:D43,G43,K43:N43)=0,0,IF(OR(Listas!$B$19="Todos",E43=Listas!$B$19,E43="",COUNTIFS(Lotes!$A$5:$A$204,D43)&lt;&gt;1),1,0))</x:f>
        <x:v>0</x:v>
      </x:c>
      <x:c r="R43" s="1"/>
      <x:c r="S43" s="1"/>
      <x:c r="T43" s="1"/>
      <x:c r="U43" s="1"/>
      <x:c r="V43" s="1"/>
      <x:c r="W43" s="1"/>
    </x:row>
    <x:row r="44" ht="32" customHeight="1">
      <x:c r="A44" s="170"/>
      <x:c r="B44" s="179"/>
      <x:c r="C44" s="170"/>
      <x:c r="D44" s="170"/>
      <x:c r="E44" s="40" t="str">
        <x:f>IF($D44="","",IFERROR(INDEX(Lotes!$B$5:$B$204,MATCH($D44,Lotes!$A$5:$A$204,0)),""))</x:f>
      </x:c>
      <x:c r="F44" s="40" t="str">
        <x:f>IF($D44="","",IFERROR(INDEX(Lotes!$C$5:$C$204,MATCH($D44,Lotes!$A$5:$A$204,0)),""))</x:f>
      </x:c>
      <x:c r="G44" s="27"/>
      <x:c r="H44" s="40" t="str">
        <x:f>IF(A44="","",IF(O44&lt;&gt;"","n.a.",IF(OR(C44="Saída",C44="Perda",C44="Ajuste negativo"),-G44,G44)))</x:f>
      </x:c>
      <x:c r="I44" s="181" t="str">
        <x:f>IF($D44="","",IFERROR(INDEX(Lotes!$K$5:$K$204,MATCH($D44,Lotes!$A$5:$A$204,0)),0))</x:f>
      </x:c>
      <x:c r="J44" s="181" t="str">
        <x:f>IF(A44="","",IF(O44&lt;&gt;"","n.a.",ABS(H44)*I44))</x:f>
      </x:c>
      <x:c r="K44" s="27"/>
      <x:c r="L44" s="27"/>
      <x:c r="M44" s="27"/>
      <x:c r="N44" s="27"/>
      <x:c r="O44" s="163" t="str">
        <x:f>IF(COUNTA(A44:D44,G44,K44:N44)=0,"",IF(OR(A44="",COUNTIFS($A$5:$A$304,A44)&lt;&gt;1),"ID ausente ou duplicado",IF(OR(NOT(ISNUMBER(B44)),B44&lt;=0),"Data ausente ou inválida",IF(AND(C44&lt;&gt;"Entrada",C44&lt;&gt;"Saída",C44&lt;&gt;"Perda",C44&lt;&gt;"Ajuste positivo",C44&lt;&gt;"Ajuste negativo"),"Tipo de movimento inválido",IF(OR(D44="",COUNTIFS(Lotes!$A$5:$A$204,D44)&lt;&gt;1),"Lote ausente ou desconhecido",IF(COUNTIFS(Lotes!$A$5:$A$204,D44,Lotes!$S$5:$S$204,"?*")&gt;0,"Revisar cadastro do lote",IF(B44&lt;INDEX(Lotes!$E$5:$E$204,MATCH(D44,Lotes!$A$5:$A$204,0)),"Movimento anterior ao recebimento",IF(OR(NOT(ISNUMBER(G44)),G44&lt;=0),"Quantidade ausente ou inválida",""))))))))</x:f>
      </x:c>
      <x:c r="P44" s="163" t="n">
        <x:f>IF(O44="",0,1)</x:f>
        <x:v>0</x:v>
      </x:c>
      <x:c r="Q44" s="163" t="n">
        <x:f>IF(COUNTA(A44:D44,G44,K44:N44)=0,0,IF(OR(Listas!$B$19="Todos",E44=Listas!$B$19,E44="",COUNTIFS(Lotes!$A$5:$A$204,D44)&lt;&gt;1),1,0))</x:f>
        <x:v>0</x:v>
      </x:c>
      <x:c r="R44" s="1"/>
      <x:c r="S44" s="1"/>
      <x:c r="T44" s="1"/>
      <x:c r="U44" s="1"/>
      <x:c r="V44" s="1"/>
      <x:c r="W44" s="1"/>
    </x:row>
    <x:row r="45" ht="32" customHeight="1">
      <x:c r="A45" s="170"/>
      <x:c r="B45" s="179"/>
      <x:c r="C45" s="170"/>
      <x:c r="D45" s="170"/>
      <x:c r="E45" s="40" t="str">
        <x:f>IF($D45="","",IFERROR(INDEX(Lotes!$B$5:$B$204,MATCH($D45,Lotes!$A$5:$A$204,0)),""))</x:f>
      </x:c>
      <x:c r="F45" s="40" t="str">
        <x:f>IF($D45="","",IFERROR(INDEX(Lotes!$C$5:$C$204,MATCH($D45,Lotes!$A$5:$A$204,0)),""))</x:f>
      </x:c>
      <x:c r="G45" s="27"/>
      <x:c r="H45" s="40" t="str">
        <x:f>IF(A45="","",IF(O45&lt;&gt;"","n.a.",IF(OR(C45="Saída",C45="Perda",C45="Ajuste negativo"),-G45,G45)))</x:f>
      </x:c>
      <x:c r="I45" s="181" t="str">
        <x:f>IF($D45="","",IFERROR(INDEX(Lotes!$K$5:$K$204,MATCH($D45,Lotes!$A$5:$A$204,0)),0))</x:f>
      </x:c>
      <x:c r="J45" s="181" t="str">
        <x:f>IF(A45="","",IF(O45&lt;&gt;"","n.a.",ABS(H45)*I45))</x:f>
      </x:c>
      <x:c r="K45" s="27"/>
      <x:c r="L45" s="27"/>
      <x:c r="M45" s="27"/>
      <x:c r="N45" s="27"/>
      <x:c r="O45" s="163" t="str">
        <x:f>IF(COUNTA(A45:D45,G45,K45:N45)=0,"",IF(OR(A45="",COUNTIFS($A$5:$A$304,A45)&lt;&gt;1),"ID ausente ou duplicado",IF(OR(NOT(ISNUMBER(B45)),B45&lt;=0),"Data ausente ou inválida",IF(AND(C45&lt;&gt;"Entrada",C45&lt;&gt;"Saída",C45&lt;&gt;"Perda",C45&lt;&gt;"Ajuste positivo",C45&lt;&gt;"Ajuste negativo"),"Tipo de movimento inválido",IF(OR(D45="",COUNTIFS(Lotes!$A$5:$A$204,D45)&lt;&gt;1),"Lote ausente ou desconhecido",IF(COUNTIFS(Lotes!$A$5:$A$204,D45,Lotes!$S$5:$S$204,"?*")&gt;0,"Revisar cadastro do lote",IF(B45&lt;INDEX(Lotes!$E$5:$E$204,MATCH(D45,Lotes!$A$5:$A$204,0)),"Movimento anterior ao recebimento",IF(OR(NOT(ISNUMBER(G45)),G45&lt;=0),"Quantidade ausente ou inválida",""))))))))</x:f>
      </x:c>
      <x:c r="P45" s="163" t="n">
        <x:f>IF(O45="",0,1)</x:f>
        <x:v>0</x:v>
      </x:c>
      <x:c r="Q45" s="163" t="n">
        <x:f>IF(COUNTA(A45:D45,G45,K45:N45)=0,0,IF(OR(Listas!$B$19="Todos",E45=Listas!$B$19,E45="",COUNTIFS(Lotes!$A$5:$A$204,D45)&lt;&gt;1),1,0))</x:f>
        <x:v>0</x:v>
      </x:c>
      <x:c r="R45" s="1"/>
      <x:c r="S45" s="1"/>
      <x:c r="T45" s="1"/>
      <x:c r="U45" s="1"/>
      <x:c r="V45" s="1"/>
      <x:c r="W45" s="1"/>
    </x:row>
    <x:row r="46" ht="32" customHeight="1">
      <x:c r="A46" s="170"/>
      <x:c r="B46" s="179"/>
      <x:c r="C46" s="170"/>
      <x:c r="D46" s="170"/>
      <x:c r="E46" s="40" t="str">
        <x:f>IF($D46="","",IFERROR(INDEX(Lotes!$B$5:$B$204,MATCH($D46,Lotes!$A$5:$A$204,0)),""))</x:f>
      </x:c>
      <x:c r="F46" s="40" t="str">
        <x:f>IF($D46="","",IFERROR(INDEX(Lotes!$C$5:$C$204,MATCH($D46,Lotes!$A$5:$A$204,0)),""))</x:f>
      </x:c>
      <x:c r="G46" s="27"/>
      <x:c r="H46" s="40" t="str">
        <x:f>IF(A46="","",IF(O46&lt;&gt;"","n.a.",IF(OR(C46="Saída",C46="Perda",C46="Ajuste negativo"),-G46,G46)))</x:f>
      </x:c>
      <x:c r="I46" s="181" t="str">
        <x:f>IF($D46="","",IFERROR(INDEX(Lotes!$K$5:$K$204,MATCH($D46,Lotes!$A$5:$A$204,0)),0))</x:f>
      </x:c>
      <x:c r="J46" s="181" t="str">
        <x:f>IF(A46="","",IF(O46&lt;&gt;"","n.a.",ABS(H46)*I46))</x:f>
      </x:c>
      <x:c r="K46" s="27"/>
      <x:c r="L46" s="27"/>
      <x:c r="M46" s="27"/>
      <x:c r="N46" s="27"/>
      <x:c r="O46" s="163" t="str">
        <x:f>IF(COUNTA(A46:D46,G46,K46:N46)=0,"",IF(OR(A46="",COUNTIFS($A$5:$A$304,A46)&lt;&gt;1),"ID ausente ou duplicado",IF(OR(NOT(ISNUMBER(B46)),B46&lt;=0),"Data ausente ou inválida",IF(AND(C46&lt;&gt;"Entrada",C46&lt;&gt;"Saída",C46&lt;&gt;"Perda",C46&lt;&gt;"Ajuste positivo",C46&lt;&gt;"Ajuste negativo"),"Tipo de movimento inválido",IF(OR(D46="",COUNTIFS(Lotes!$A$5:$A$204,D46)&lt;&gt;1),"Lote ausente ou desconhecido",IF(COUNTIFS(Lotes!$A$5:$A$204,D46,Lotes!$S$5:$S$204,"?*")&gt;0,"Revisar cadastro do lote",IF(B46&lt;INDEX(Lotes!$E$5:$E$204,MATCH(D46,Lotes!$A$5:$A$204,0)),"Movimento anterior ao recebimento",IF(OR(NOT(ISNUMBER(G46)),G46&lt;=0),"Quantidade ausente ou inválida",""))))))))</x:f>
      </x:c>
      <x:c r="P46" s="163" t="n">
        <x:f>IF(O46="",0,1)</x:f>
        <x:v>0</x:v>
      </x:c>
      <x:c r="Q46" s="163" t="n">
        <x:f>IF(COUNTA(A46:D46,G46,K46:N46)=0,0,IF(OR(Listas!$B$19="Todos",E46=Listas!$B$19,E46="",COUNTIFS(Lotes!$A$5:$A$204,D46)&lt;&gt;1),1,0))</x:f>
        <x:v>0</x:v>
      </x:c>
      <x:c r="R46" s="1"/>
      <x:c r="S46" s="1"/>
      <x:c r="T46" s="1"/>
      <x:c r="U46" s="1"/>
      <x:c r="V46" s="1"/>
      <x:c r="W46" s="1"/>
    </x:row>
    <x:row r="47" ht="32" customHeight="1">
      <x:c r="A47" s="170"/>
      <x:c r="B47" s="179"/>
      <x:c r="C47" s="170"/>
      <x:c r="D47" s="170"/>
      <x:c r="E47" s="40" t="str">
        <x:f>IF($D47="","",IFERROR(INDEX(Lotes!$B$5:$B$204,MATCH($D47,Lotes!$A$5:$A$204,0)),""))</x:f>
      </x:c>
      <x:c r="F47" s="40" t="str">
        <x:f>IF($D47="","",IFERROR(INDEX(Lotes!$C$5:$C$204,MATCH($D47,Lotes!$A$5:$A$204,0)),""))</x:f>
      </x:c>
      <x:c r="G47" s="27"/>
      <x:c r="H47" s="40" t="str">
        <x:f>IF(A47="","",IF(O47&lt;&gt;"","n.a.",IF(OR(C47="Saída",C47="Perda",C47="Ajuste negativo"),-G47,G47)))</x:f>
      </x:c>
      <x:c r="I47" s="181" t="str">
        <x:f>IF($D47="","",IFERROR(INDEX(Lotes!$K$5:$K$204,MATCH($D47,Lotes!$A$5:$A$204,0)),0))</x:f>
      </x:c>
      <x:c r="J47" s="181" t="str">
        <x:f>IF(A47="","",IF(O47&lt;&gt;"","n.a.",ABS(H47)*I47))</x:f>
      </x:c>
      <x:c r="K47" s="27"/>
      <x:c r="L47" s="27"/>
      <x:c r="M47" s="27"/>
      <x:c r="N47" s="27"/>
      <x:c r="O47" s="163" t="str">
        <x:f>IF(COUNTA(A47:D47,G47,K47:N47)=0,"",IF(OR(A47="",COUNTIFS($A$5:$A$304,A47)&lt;&gt;1),"ID ausente ou duplicado",IF(OR(NOT(ISNUMBER(B47)),B47&lt;=0),"Data ausente ou inválida",IF(AND(C47&lt;&gt;"Entrada",C47&lt;&gt;"Saída",C47&lt;&gt;"Perda",C47&lt;&gt;"Ajuste positivo",C47&lt;&gt;"Ajuste negativo"),"Tipo de movimento inválido",IF(OR(D47="",COUNTIFS(Lotes!$A$5:$A$204,D47)&lt;&gt;1),"Lote ausente ou desconhecido",IF(COUNTIFS(Lotes!$A$5:$A$204,D47,Lotes!$S$5:$S$204,"?*")&gt;0,"Revisar cadastro do lote",IF(B47&lt;INDEX(Lotes!$E$5:$E$204,MATCH(D47,Lotes!$A$5:$A$204,0)),"Movimento anterior ao recebimento",IF(OR(NOT(ISNUMBER(G47)),G47&lt;=0),"Quantidade ausente ou inválida",""))))))))</x:f>
      </x:c>
      <x:c r="P47" s="163" t="n">
        <x:f>IF(O47="",0,1)</x:f>
        <x:v>0</x:v>
      </x:c>
      <x:c r="Q47" s="163" t="n">
        <x:f>IF(COUNTA(A47:D47,G47,K47:N47)=0,0,IF(OR(Listas!$B$19="Todos",E47=Listas!$B$19,E47="",COUNTIFS(Lotes!$A$5:$A$204,D47)&lt;&gt;1),1,0))</x:f>
        <x:v>0</x:v>
      </x:c>
      <x:c r="R47" s="1"/>
      <x:c r="S47" s="1"/>
      <x:c r="T47" s="1"/>
      <x:c r="U47" s="1"/>
      <x:c r="V47" s="1"/>
      <x:c r="W47" s="1"/>
    </x:row>
    <x:row r="48" ht="32" customHeight="1">
      <x:c r="A48" s="170"/>
      <x:c r="B48" s="179"/>
      <x:c r="C48" s="170"/>
      <x:c r="D48" s="170"/>
      <x:c r="E48" s="40" t="str">
        <x:f>IF($D48="","",IFERROR(INDEX(Lotes!$B$5:$B$204,MATCH($D48,Lotes!$A$5:$A$204,0)),""))</x:f>
      </x:c>
      <x:c r="F48" s="40" t="str">
        <x:f>IF($D48="","",IFERROR(INDEX(Lotes!$C$5:$C$204,MATCH($D48,Lotes!$A$5:$A$204,0)),""))</x:f>
      </x:c>
      <x:c r="G48" s="27"/>
      <x:c r="H48" s="40" t="str">
        <x:f>IF(A48="","",IF(O48&lt;&gt;"","n.a.",IF(OR(C48="Saída",C48="Perda",C48="Ajuste negativo"),-G48,G48)))</x:f>
      </x:c>
      <x:c r="I48" s="181" t="str">
        <x:f>IF($D48="","",IFERROR(INDEX(Lotes!$K$5:$K$204,MATCH($D48,Lotes!$A$5:$A$204,0)),0))</x:f>
      </x:c>
      <x:c r="J48" s="181" t="str">
        <x:f>IF(A48="","",IF(O48&lt;&gt;"","n.a.",ABS(H48)*I48))</x:f>
      </x:c>
      <x:c r="K48" s="27"/>
      <x:c r="L48" s="27"/>
      <x:c r="M48" s="27"/>
      <x:c r="N48" s="27"/>
      <x:c r="O48" s="163" t="str">
        <x:f>IF(COUNTA(A48:D48,G48,K48:N48)=0,"",IF(OR(A48="",COUNTIFS($A$5:$A$304,A48)&lt;&gt;1),"ID ausente ou duplicado",IF(OR(NOT(ISNUMBER(B48)),B48&lt;=0),"Data ausente ou inválida",IF(AND(C48&lt;&gt;"Entrada",C48&lt;&gt;"Saída",C48&lt;&gt;"Perda",C48&lt;&gt;"Ajuste positivo",C48&lt;&gt;"Ajuste negativo"),"Tipo de movimento inválido",IF(OR(D48="",COUNTIFS(Lotes!$A$5:$A$204,D48)&lt;&gt;1),"Lote ausente ou desconhecido",IF(COUNTIFS(Lotes!$A$5:$A$204,D48,Lotes!$S$5:$S$204,"?*")&gt;0,"Revisar cadastro do lote",IF(B48&lt;INDEX(Lotes!$E$5:$E$204,MATCH(D48,Lotes!$A$5:$A$204,0)),"Movimento anterior ao recebimento",IF(OR(NOT(ISNUMBER(G48)),G48&lt;=0),"Quantidade ausente ou inválida",""))))))))</x:f>
      </x:c>
      <x:c r="P48" s="163" t="n">
        <x:f>IF(O48="",0,1)</x:f>
        <x:v>0</x:v>
      </x:c>
      <x:c r="Q48" s="163" t="n">
        <x:f>IF(COUNTA(A48:D48,G48,K48:N48)=0,0,IF(OR(Listas!$B$19="Todos",E48=Listas!$B$19,E48="",COUNTIFS(Lotes!$A$5:$A$204,D48)&lt;&gt;1),1,0))</x:f>
        <x:v>0</x:v>
      </x:c>
      <x:c r="R48" s="1"/>
      <x:c r="S48" s="1"/>
      <x:c r="T48" s="1"/>
      <x:c r="U48" s="1"/>
      <x:c r="V48" s="1"/>
      <x:c r="W48" s="1"/>
    </x:row>
    <x:row r="49" ht="32" customHeight="1">
      <x:c r="A49" s="170"/>
      <x:c r="B49" s="179"/>
      <x:c r="C49" s="170"/>
      <x:c r="D49" s="170"/>
      <x:c r="E49" s="40" t="str">
        <x:f>IF($D49="","",IFERROR(INDEX(Lotes!$B$5:$B$204,MATCH($D49,Lotes!$A$5:$A$204,0)),""))</x:f>
      </x:c>
      <x:c r="F49" s="40" t="str">
        <x:f>IF($D49="","",IFERROR(INDEX(Lotes!$C$5:$C$204,MATCH($D49,Lotes!$A$5:$A$204,0)),""))</x:f>
      </x:c>
      <x:c r="G49" s="27"/>
      <x:c r="H49" s="40" t="str">
        <x:f>IF(A49="","",IF(O49&lt;&gt;"","n.a.",IF(OR(C49="Saída",C49="Perda",C49="Ajuste negativo"),-G49,G49)))</x:f>
      </x:c>
      <x:c r="I49" s="181" t="str">
        <x:f>IF($D49="","",IFERROR(INDEX(Lotes!$K$5:$K$204,MATCH($D49,Lotes!$A$5:$A$204,0)),0))</x:f>
      </x:c>
      <x:c r="J49" s="181" t="str">
        <x:f>IF(A49="","",IF(O49&lt;&gt;"","n.a.",ABS(H49)*I49))</x:f>
      </x:c>
      <x:c r="K49" s="27"/>
      <x:c r="L49" s="27"/>
      <x:c r="M49" s="27"/>
      <x:c r="N49" s="27"/>
      <x:c r="O49" s="163" t="str">
        <x:f>IF(COUNTA(A49:D49,G49,K49:N49)=0,"",IF(OR(A49="",COUNTIFS($A$5:$A$304,A49)&lt;&gt;1),"ID ausente ou duplicado",IF(OR(NOT(ISNUMBER(B49)),B49&lt;=0),"Data ausente ou inválida",IF(AND(C49&lt;&gt;"Entrada",C49&lt;&gt;"Saída",C49&lt;&gt;"Perda",C49&lt;&gt;"Ajuste positivo",C49&lt;&gt;"Ajuste negativo"),"Tipo de movimento inválido",IF(OR(D49="",COUNTIFS(Lotes!$A$5:$A$204,D49)&lt;&gt;1),"Lote ausente ou desconhecido",IF(COUNTIFS(Lotes!$A$5:$A$204,D49,Lotes!$S$5:$S$204,"?*")&gt;0,"Revisar cadastro do lote",IF(B49&lt;INDEX(Lotes!$E$5:$E$204,MATCH(D49,Lotes!$A$5:$A$204,0)),"Movimento anterior ao recebimento",IF(OR(NOT(ISNUMBER(G49)),G49&lt;=0),"Quantidade ausente ou inválida",""))))))))</x:f>
      </x:c>
      <x:c r="P49" s="163" t="n">
        <x:f>IF(O49="",0,1)</x:f>
        <x:v>0</x:v>
      </x:c>
      <x:c r="Q49" s="163" t="n">
        <x:f>IF(COUNTA(A49:D49,G49,K49:N49)=0,0,IF(OR(Listas!$B$19="Todos",E49=Listas!$B$19,E49="",COUNTIFS(Lotes!$A$5:$A$204,D49)&lt;&gt;1),1,0))</x:f>
        <x:v>0</x:v>
      </x:c>
      <x:c r="R49" s="1"/>
      <x:c r="S49" s="1"/>
      <x:c r="T49" s="1"/>
      <x:c r="U49" s="1"/>
      <x:c r="V49" s="1"/>
      <x:c r="W49" s="1"/>
    </x:row>
    <x:row r="50" ht="32" customHeight="1">
      <x:c r="A50" s="170"/>
      <x:c r="B50" s="179"/>
      <x:c r="C50" s="170"/>
      <x:c r="D50" s="170"/>
      <x:c r="E50" s="40" t="str">
        <x:f>IF($D50="","",IFERROR(INDEX(Lotes!$B$5:$B$204,MATCH($D50,Lotes!$A$5:$A$204,0)),""))</x:f>
      </x:c>
      <x:c r="F50" s="40" t="str">
        <x:f>IF($D50="","",IFERROR(INDEX(Lotes!$C$5:$C$204,MATCH($D50,Lotes!$A$5:$A$204,0)),""))</x:f>
      </x:c>
      <x:c r="G50" s="27"/>
      <x:c r="H50" s="40" t="str">
        <x:f>IF(A50="","",IF(O50&lt;&gt;"","n.a.",IF(OR(C50="Saída",C50="Perda",C50="Ajuste negativo"),-G50,G50)))</x:f>
      </x:c>
      <x:c r="I50" s="181" t="str">
        <x:f>IF($D50="","",IFERROR(INDEX(Lotes!$K$5:$K$204,MATCH($D50,Lotes!$A$5:$A$204,0)),0))</x:f>
      </x:c>
      <x:c r="J50" s="181" t="str">
        <x:f>IF(A50="","",IF(O50&lt;&gt;"","n.a.",ABS(H50)*I50))</x:f>
      </x:c>
      <x:c r="K50" s="27"/>
      <x:c r="L50" s="27"/>
      <x:c r="M50" s="27"/>
      <x:c r="N50" s="27"/>
      <x:c r="O50" s="163" t="str">
        <x:f>IF(COUNTA(A50:D50,G50,K50:N50)=0,"",IF(OR(A50="",COUNTIFS($A$5:$A$304,A50)&lt;&gt;1),"ID ausente ou duplicado",IF(OR(NOT(ISNUMBER(B50)),B50&lt;=0),"Data ausente ou inválida",IF(AND(C50&lt;&gt;"Entrada",C50&lt;&gt;"Saída",C50&lt;&gt;"Perda",C50&lt;&gt;"Ajuste positivo",C50&lt;&gt;"Ajuste negativo"),"Tipo de movimento inválido",IF(OR(D50="",COUNTIFS(Lotes!$A$5:$A$204,D50)&lt;&gt;1),"Lote ausente ou desconhecido",IF(COUNTIFS(Lotes!$A$5:$A$204,D50,Lotes!$S$5:$S$204,"?*")&gt;0,"Revisar cadastro do lote",IF(B50&lt;INDEX(Lotes!$E$5:$E$204,MATCH(D50,Lotes!$A$5:$A$204,0)),"Movimento anterior ao recebimento",IF(OR(NOT(ISNUMBER(G50)),G50&lt;=0),"Quantidade ausente ou inválida",""))))))))</x:f>
      </x:c>
      <x:c r="P50" s="163" t="n">
        <x:f>IF(O50="",0,1)</x:f>
        <x:v>0</x:v>
      </x:c>
      <x:c r="Q50" s="163" t="n">
        <x:f>IF(COUNTA(A50:D50,G50,K50:N50)=0,0,IF(OR(Listas!$B$19="Todos",E50=Listas!$B$19,E50="",COUNTIFS(Lotes!$A$5:$A$204,D50)&lt;&gt;1),1,0))</x:f>
        <x:v>0</x:v>
      </x:c>
      <x:c r="R50" s="1"/>
      <x:c r="S50" s="1"/>
      <x:c r="T50" s="1"/>
      <x:c r="U50" s="1"/>
      <x:c r="V50" s="1"/>
      <x:c r="W50" s="1"/>
    </x:row>
    <x:row r="51" ht="32" customHeight="1">
      <x:c r="A51" s="170"/>
      <x:c r="B51" s="179"/>
      <x:c r="C51" s="170"/>
      <x:c r="D51" s="170"/>
      <x:c r="E51" s="40" t="str">
        <x:f>IF($D51="","",IFERROR(INDEX(Lotes!$B$5:$B$204,MATCH($D51,Lotes!$A$5:$A$204,0)),""))</x:f>
      </x:c>
      <x:c r="F51" s="40" t="str">
        <x:f>IF($D51="","",IFERROR(INDEX(Lotes!$C$5:$C$204,MATCH($D51,Lotes!$A$5:$A$204,0)),""))</x:f>
      </x:c>
      <x:c r="G51" s="27"/>
      <x:c r="H51" s="40" t="str">
        <x:f>IF(A51="","",IF(O51&lt;&gt;"","n.a.",IF(OR(C51="Saída",C51="Perda",C51="Ajuste negativo"),-G51,G51)))</x:f>
      </x:c>
      <x:c r="I51" s="181" t="str">
        <x:f>IF($D51="","",IFERROR(INDEX(Lotes!$K$5:$K$204,MATCH($D51,Lotes!$A$5:$A$204,0)),0))</x:f>
      </x:c>
      <x:c r="J51" s="181" t="str">
        <x:f>IF(A51="","",IF(O51&lt;&gt;"","n.a.",ABS(H51)*I51))</x:f>
      </x:c>
      <x:c r="K51" s="27"/>
      <x:c r="L51" s="27"/>
      <x:c r="M51" s="27"/>
      <x:c r="N51" s="27"/>
      <x:c r="O51" s="163" t="str">
        <x:f>IF(COUNTA(A51:D51,G51,K51:N51)=0,"",IF(OR(A51="",COUNTIFS($A$5:$A$304,A51)&lt;&gt;1),"ID ausente ou duplicado",IF(OR(NOT(ISNUMBER(B51)),B51&lt;=0),"Data ausente ou inválida",IF(AND(C51&lt;&gt;"Entrada",C51&lt;&gt;"Saída",C51&lt;&gt;"Perda",C51&lt;&gt;"Ajuste positivo",C51&lt;&gt;"Ajuste negativo"),"Tipo de movimento inválido",IF(OR(D51="",COUNTIFS(Lotes!$A$5:$A$204,D51)&lt;&gt;1),"Lote ausente ou desconhecido",IF(COUNTIFS(Lotes!$A$5:$A$204,D51,Lotes!$S$5:$S$204,"?*")&gt;0,"Revisar cadastro do lote",IF(B51&lt;INDEX(Lotes!$E$5:$E$204,MATCH(D51,Lotes!$A$5:$A$204,0)),"Movimento anterior ao recebimento",IF(OR(NOT(ISNUMBER(G51)),G51&lt;=0),"Quantidade ausente ou inválida",""))))))))</x:f>
      </x:c>
      <x:c r="P51" s="163" t="n">
        <x:f>IF(O51="",0,1)</x:f>
        <x:v>0</x:v>
      </x:c>
      <x:c r="Q51" s="163" t="n">
        <x:f>IF(COUNTA(A51:D51,G51,K51:N51)=0,0,IF(OR(Listas!$B$19="Todos",E51=Listas!$B$19,E51="",COUNTIFS(Lotes!$A$5:$A$204,D51)&lt;&gt;1),1,0))</x:f>
        <x:v>0</x:v>
      </x:c>
      <x:c r="R51" s="1"/>
      <x:c r="S51" s="1"/>
      <x:c r="T51" s="1"/>
      <x:c r="U51" s="1"/>
      <x:c r="V51" s="1"/>
      <x:c r="W51" s="1"/>
    </x:row>
    <x:row r="52" ht="32" customHeight="1">
      <x:c r="A52" s="170"/>
      <x:c r="B52" s="179"/>
      <x:c r="C52" s="170"/>
      <x:c r="D52" s="170"/>
      <x:c r="E52" s="40" t="str">
        <x:f>IF($D52="","",IFERROR(INDEX(Lotes!$B$5:$B$204,MATCH($D52,Lotes!$A$5:$A$204,0)),""))</x:f>
      </x:c>
      <x:c r="F52" s="40" t="str">
        <x:f>IF($D52="","",IFERROR(INDEX(Lotes!$C$5:$C$204,MATCH($D52,Lotes!$A$5:$A$204,0)),""))</x:f>
      </x:c>
      <x:c r="G52" s="27"/>
      <x:c r="H52" s="40" t="str">
        <x:f>IF(A52="","",IF(O52&lt;&gt;"","n.a.",IF(OR(C52="Saída",C52="Perda",C52="Ajuste negativo"),-G52,G52)))</x:f>
      </x:c>
      <x:c r="I52" s="181" t="str">
        <x:f>IF($D52="","",IFERROR(INDEX(Lotes!$K$5:$K$204,MATCH($D52,Lotes!$A$5:$A$204,0)),0))</x:f>
      </x:c>
      <x:c r="J52" s="181" t="str">
        <x:f>IF(A52="","",IF(O52&lt;&gt;"","n.a.",ABS(H52)*I52))</x:f>
      </x:c>
      <x:c r="K52" s="27"/>
      <x:c r="L52" s="27"/>
      <x:c r="M52" s="27"/>
      <x:c r="N52" s="27"/>
      <x:c r="O52" s="163" t="str">
        <x:f>IF(COUNTA(A52:D52,G52,K52:N52)=0,"",IF(OR(A52="",COUNTIFS($A$5:$A$304,A52)&lt;&gt;1),"ID ausente ou duplicado",IF(OR(NOT(ISNUMBER(B52)),B52&lt;=0),"Data ausente ou inválida",IF(AND(C52&lt;&gt;"Entrada",C52&lt;&gt;"Saída",C52&lt;&gt;"Perda",C52&lt;&gt;"Ajuste positivo",C52&lt;&gt;"Ajuste negativo"),"Tipo de movimento inválido",IF(OR(D52="",COUNTIFS(Lotes!$A$5:$A$204,D52)&lt;&gt;1),"Lote ausente ou desconhecido",IF(COUNTIFS(Lotes!$A$5:$A$204,D52,Lotes!$S$5:$S$204,"?*")&gt;0,"Revisar cadastro do lote",IF(B52&lt;INDEX(Lotes!$E$5:$E$204,MATCH(D52,Lotes!$A$5:$A$204,0)),"Movimento anterior ao recebimento",IF(OR(NOT(ISNUMBER(G52)),G52&lt;=0),"Quantidade ausente ou inválida",""))))))))</x:f>
      </x:c>
      <x:c r="P52" s="163" t="n">
        <x:f>IF(O52="",0,1)</x:f>
        <x:v>0</x:v>
      </x:c>
      <x:c r="Q52" s="163" t="n">
        <x:f>IF(COUNTA(A52:D52,G52,K52:N52)=0,0,IF(OR(Listas!$B$19="Todos",E52=Listas!$B$19,E52="",COUNTIFS(Lotes!$A$5:$A$204,D52)&lt;&gt;1),1,0))</x:f>
        <x:v>0</x:v>
      </x:c>
      <x:c r="R52" s="1"/>
      <x:c r="S52" s="1"/>
      <x:c r="T52" s="1"/>
      <x:c r="U52" s="1"/>
      <x:c r="V52" s="1"/>
      <x:c r="W52" s="1"/>
    </x:row>
    <x:row r="53" ht="32" customHeight="1">
      <x:c r="A53" s="170"/>
      <x:c r="B53" s="179"/>
      <x:c r="C53" s="170"/>
      <x:c r="D53" s="170"/>
      <x:c r="E53" s="40" t="str">
        <x:f>IF($D53="","",IFERROR(INDEX(Lotes!$B$5:$B$204,MATCH($D53,Lotes!$A$5:$A$204,0)),""))</x:f>
      </x:c>
      <x:c r="F53" s="40" t="str">
        <x:f>IF($D53="","",IFERROR(INDEX(Lotes!$C$5:$C$204,MATCH($D53,Lotes!$A$5:$A$204,0)),""))</x:f>
      </x:c>
      <x:c r="G53" s="27"/>
      <x:c r="H53" s="40" t="str">
        <x:f>IF(A53="","",IF(O53&lt;&gt;"","n.a.",IF(OR(C53="Saída",C53="Perda",C53="Ajuste negativo"),-G53,G53)))</x:f>
      </x:c>
      <x:c r="I53" s="181" t="str">
        <x:f>IF($D53="","",IFERROR(INDEX(Lotes!$K$5:$K$204,MATCH($D53,Lotes!$A$5:$A$204,0)),0))</x:f>
      </x:c>
      <x:c r="J53" s="181" t="str">
        <x:f>IF(A53="","",IF(O53&lt;&gt;"","n.a.",ABS(H53)*I53))</x:f>
      </x:c>
      <x:c r="K53" s="27"/>
      <x:c r="L53" s="27"/>
      <x:c r="M53" s="27"/>
      <x:c r="N53" s="27"/>
      <x:c r="O53" s="163" t="str">
        <x:f>IF(COUNTA(A53:D53,G53,K53:N53)=0,"",IF(OR(A53="",COUNTIFS($A$5:$A$304,A53)&lt;&gt;1),"ID ausente ou duplicado",IF(OR(NOT(ISNUMBER(B53)),B53&lt;=0),"Data ausente ou inválida",IF(AND(C53&lt;&gt;"Entrada",C53&lt;&gt;"Saída",C53&lt;&gt;"Perda",C53&lt;&gt;"Ajuste positivo",C53&lt;&gt;"Ajuste negativo"),"Tipo de movimento inválido",IF(OR(D53="",COUNTIFS(Lotes!$A$5:$A$204,D53)&lt;&gt;1),"Lote ausente ou desconhecido",IF(COUNTIFS(Lotes!$A$5:$A$204,D53,Lotes!$S$5:$S$204,"?*")&gt;0,"Revisar cadastro do lote",IF(B53&lt;INDEX(Lotes!$E$5:$E$204,MATCH(D53,Lotes!$A$5:$A$204,0)),"Movimento anterior ao recebimento",IF(OR(NOT(ISNUMBER(G53)),G53&lt;=0),"Quantidade ausente ou inválida",""))))))))</x:f>
      </x:c>
      <x:c r="P53" s="163" t="n">
        <x:f>IF(O53="",0,1)</x:f>
        <x:v>0</x:v>
      </x:c>
      <x:c r="Q53" s="163" t="n">
        <x:f>IF(COUNTA(A53:D53,G53,K53:N53)=0,0,IF(OR(Listas!$B$19="Todos",E53=Listas!$B$19,E53="",COUNTIFS(Lotes!$A$5:$A$204,D53)&lt;&gt;1),1,0))</x:f>
        <x:v>0</x:v>
      </x:c>
      <x:c r="R53" s="1"/>
      <x:c r="S53" s="1"/>
      <x:c r="T53" s="1"/>
      <x:c r="U53" s="1"/>
      <x:c r="V53" s="1"/>
      <x:c r="W53" s="1"/>
    </x:row>
    <x:row r="54" ht="32" customHeight="1">
      <x:c r="A54" s="170"/>
      <x:c r="B54" s="179"/>
      <x:c r="C54" s="170"/>
      <x:c r="D54" s="170"/>
      <x:c r="E54" s="40" t="str">
        <x:f>IF($D54="","",IFERROR(INDEX(Lotes!$B$5:$B$204,MATCH($D54,Lotes!$A$5:$A$204,0)),""))</x:f>
      </x:c>
      <x:c r="F54" s="40" t="str">
        <x:f>IF($D54="","",IFERROR(INDEX(Lotes!$C$5:$C$204,MATCH($D54,Lotes!$A$5:$A$204,0)),""))</x:f>
      </x:c>
      <x:c r="G54" s="27"/>
      <x:c r="H54" s="40" t="str">
        <x:f>IF(A54="","",IF(O54&lt;&gt;"","n.a.",IF(OR(C54="Saída",C54="Perda",C54="Ajuste negativo"),-G54,G54)))</x:f>
      </x:c>
      <x:c r="I54" s="181" t="str">
        <x:f>IF($D54="","",IFERROR(INDEX(Lotes!$K$5:$K$204,MATCH($D54,Lotes!$A$5:$A$204,0)),0))</x:f>
      </x:c>
      <x:c r="J54" s="181" t="str">
        <x:f>IF(A54="","",IF(O54&lt;&gt;"","n.a.",ABS(H54)*I54))</x:f>
      </x:c>
      <x:c r="K54" s="27"/>
      <x:c r="L54" s="27"/>
      <x:c r="M54" s="27"/>
      <x:c r="N54" s="27"/>
      <x:c r="O54" s="163" t="str">
        <x:f>IF(COUNTA(A54:D54,G54,K54:N54)=0,"",IF(OR(A54="",COUNTIFS($A$5:$A$304,A54)&lt;&gt;1),"ID ausente ou duplicado",IF(OR(NOT(ISNUMBER(B54)),B54&lt;=0),"Data ausente ou inválida",IF(AND(C54&lt;&gt;"Entrada",C54&lt;&gt;"Saída",C54&lt;&gt;"Perda",C54&lt;&gt;"Ajuste positivo",C54&lt;&gt;"Ajuste negativo"),"Tipo de movimento inválido",IF(OR(D54="",COUNTIFS(Lotes!$A$5:$A$204,D54)&lt;&gt;1),"Lote ausente ou desconhecido",IF(COUNTIFS(Lotes!$A$5:$A$204,D54,Lotes!$S$5:$S$204,"?*")&gt;0,"Revisar cadastro do lote",IF(B54&lt;INDEX(Lotes!$E$5:$E$204,MATCH(D54,Lotes!$A$5:$A$204,0)),"Movimento anterior ao recebimento",IF(OR(NOT(ISNUMBER(G54)),G54&lt;=0),"Quantidade ausente ou inválida",""))))))))</x:f>
      </x:c>
      <x:c r="P54" s="163" t="n">
        <x:f>IF(O54="",0,1)</x:f>
        <x:v>0</x:v>
      </x:c>
      <x:c r="Q54" s="163" t="n">
        <x:f>IF(COUNTA(A54:D54,G54,K54:N54)=0,0,IF(OR(Listas!$B$19="Todos",E54=Listas!$B$19,E54="",COUNTIFS(Lotes!$A$5:$A$204,D54)&lt;&gt;1),1,0))</x:f>
        <x:v>0</x:v>
      </x:c>
      <x:c r="R54" s="1"/>
      <x:c r="S54" s="1"/>
      <x:c r="T54" s="1"/>
      <x:c r="U54" s="1"/>
      <x:c r="V54" s="1"/>
      <x:c r="W54" s="1"/>
    </x:row>
    <x:row r="55" ht="32" customHeight="1">
      <x:c r="A55" s="170"/>
      <x:c r="B55" s="179"/>
      <x:c r="C55" s="170"/>
      <x:c r="D55" s="170"/>
      <x:c r="E55" s="40" t="str">
        <x:f>IF($D55="","",IFERROR(INDEX(Lotes!$B$5:$B$204,MATCH($D55,Lotes!$A$5:$A$204,0)),""))</x:f>
      </x:c>
      <x:c r="F55" s="40" t="str">
        <x:f>IF($D55="","",IFERROR(INDEX(Lotes!$C$5:$C$204,MATCH($D55,Lotes!$A$5:$A$204,0)),""))</x:f>
      </x:c>
      <x:c r="G55" s="27"/>
      <x:c r="H55" s="40" t="str">
        <x:f>IF(A55="","",IF(O55&lt;&gt;"","n.a.",IF(OR(C55="Saída",C55="Perda",C55="Ajuste negativo"),-G55,G55)))</x:f>
      </x:c>
      <x:c r="I55" s="181" t="str">
        <x:f>IF($D55="","",IFERROR(INDEX(Lotes!$K$5:$K$204,MATCH($D55,Lotes!$A$5:$A$204,0)),0))</x:f>
      </x:c>
      <x:c r="J55" s="181" t="str">
        <x:f>IF(A55="","",IF(O55&lt;&gt;"","n.a.",ABS(H55)*I55))</x:f>
      </x:c>
      <x:c r="K55" s="27"/>
      <x:c r="L55" s="27"/>
      <x:c r="M55" s="27"/>
      <x:c r="N55" s="27"/>
      <x:c r="O55" s="163" t="str">
        <x:f>IF(COUNTA(A55:D55,G55,K55:N55)=0,"",IF(OR(A55="",COUNTIFS($A$5:$A$304,A55)&lt;&gt;1),"ID ausente ou duplicado",IF(OR(NOT(ISNUMBER(B55)),B55&lt;=0),"Data ausente ou inválida",IF(AND(C55&lt;&gt;"Entrada",C55&lt;&gt;"Saída",C55&lt;&gt;"Perda",C55&lt;&gt;"Ajuste positivo",C55&lt;&gt;"Ajuste negativo"),"Tipo de movimento inválido",IF(OR(D55="",COUNTIFS(Lotes!$A$5:$A$204,D55)&lt;&gt;1),"Lote ausente ou desconhecido",IF(COUNTIFS(Lotes!$A$5:$A$204,D55,Lotes!$S$5:$S$204,"?*")&gt;0,"Revisar cadastro do lote",IF(B55&lt;INDEX(Lotes!$E$5:$E$204,MATCH(D55,Lotes!$A$5:$A$204,0)),"Movimento anterior ao recebimento",IF(OR(NOT(ISNUMBER(G55)),G55&lt;=0),"Quantidade ausente ou inválida",""))))))))</x:f>
      </x:c>
      <x:c r="P55" s="163" t="n">
        <x:f>IF(O55="",0,1)</x:f>
        <x:v>0</x:v>
      </x:c>
      <x:c r="Q55" s="163" t="n">
        <x:f>IF(COUNTA(A55:D55,G55,K55:N55)=0,0,IF(OR(Listas!$B$19="Todos",E55=Listas!$B$19,E55="",COUNTIFS(Lotes!$A$5:$A$204,D55)&lt;&gt;1),1,0))</x:f>
        <x:v>0</x:v>
      </x:c>
      <x:c r="R55" s="1"/>
      <x:c r="S55" s="1"/>
      <x:c r="T55" s="1"/>
      <x:c r="U55" s="1"/>
      <x:c r="V55" s="1"/>
      <x:c r="W55" s="1"/>
    </x:row>
    <x:row r="56" ht="32" customHeight="1">
      <x:c r="A56" s="170"/>
      <x:c r="B56" s="179"/>
      <x:c r="C56" s="170"/>
      <x:c r="D56" s="170"/>
      <x:c r="E56" s="40" t="str">
        <x:f>IF($D56="","",IFERROR(INDEX(Lotes!$B$5:$B$204,MATCH($D56,Lotes!$A$5:$A$204,0)),""))</x:f>
      </x:c>
      <x:c r="F56" s="40" t="str">
        <x:f>IF($D56="","",IFERROR(INDEX(Lotes!$C$5:$C$204,MATCH($D56,Lotes!$A$5:$A$204,0)),""))</x:f>
      </x:c>
      <x:c r="G56" s="27"/>
      <x:c r="H56" s="40" t="str">
        <x:f>IF(A56="","",IF(O56&lt;&gt;"","n.a.",IF(OR(C56="Saída",C56="Perda",C56="Ajuste negativo"),-G56,G56)))</x:f>
      </x:c>
      <x:c r="I56" s="181" t="str">
        <x:f>IF($D56="","",IFERROR(INDEX(Lotes!$K$5:$K$204,MATCH($D56,Lotes!$A$5:$A$204,0)),0))</x:f>
      </x:c>
      <x:c r="J56" s="181" t="str">
        <x:f>IF(A56="","",IF(O56&lt;&gt;"","n.a.",ABS(H56)*I56))</x:f>
      </x:c>
      <x:c r="K56" s="27"/>
      <x:c r="L56" s="27"/>
      <x:c r="M56" s="27"/>
      <x:c r="N56" s="27"/>
      <x:c r="O56" s="163" t="str">
        <x:f>IF(COUNTA(A56:D56,G56,K56:N56)=0,"",IF(OR(A56="",COUNTIFS($A$5:$A$304,A56)&lt;&gt;1),"ID ausente ou duplicado",IF(OR(NOT(ISNUMBER(B56)),B56&lt;=0),"Data ausente ou inválida",IF(AND(C56&lt;&gt;"Entrada",C56&lt;&gt;"Saída",C56&lt;&gt;"Perda",C56&lt;&gt;"Ajuste positivo",C56&lt;&gt;"Ajuste negativo"),"Tipo de movimento inválido",IF(OR(D56="",COUNTIFS(Lotes!$A$5:$A$204,D56)&lt;&gt;1),"Lote ausente ou desconhecido",IF(COUNTIFS(Lotes!$A$5:$A$204,D56,Lotes!$S$5:$S$204,"?*")&gt;0,"Revisar cadastro do lote",IF(B56&lt;INDEX(Lotes!$E$5:$E$204,MATCH(D56,Lotes!$A$5:$A$204,0)),"Movimento anterior ao recebimento",IF(OR(NOT(ISNUMBER(G56)),G56&lt;=0),"Quantidade ausente ou inválida",""))))))))</x:f>
      </x:c>
      <x:c r="P56" s="163" t="n">
        <x:f>IF(O56="",0,1)</x:f>
        <x:v>0</x:v>
      </x:c>
      <x:c r="Q56" s="163" t="n">
        <x:f>IF(COUNTA(A56:D56,G56,K56:N56)=0,0,IF(OR(Listas!$B$19="Todos",E56=Listas!$B$19,E56="",COUNTIFS(Lotes!$A$5:$A$204,D56)&lt;&gt;1),1,0))</x:f>
        <x:v>0</x:v>
      </x:c>
      <x:c r="R56" s="1"/>
      <x:c r="S56" s="1"/>
      <x:c r="T56" s="1"/>
      <x:c r="U56" s="1"/>
      <x:c r="V56" s="1"/>
      <x:c r="W56" s="1"/>
    </x:row>
    <x:row r="57" ht="32" customHeight="1">
      <x:c r="A57" s="170"/>
      <x:c r="B57" s="179"/>
      <x:c r="C57" s="170"/>
      <x:c r="D57" s="170"/>
      <x:c r="E57" s="40" t="str">
        <x:f>IF($D57="","",IFERROR(INDEX(Lotes!$B$5:$B$204,MATCH($D57,Lotes!$A$5:$A$204,0)),""))</x:f>
      </x:c>
      <x:c r="F57" s="40" t="str">
        <x:f>IF($D57="","",IFERROR(INDEX(Lotes!$C$5:$C$204,MATCH($D57,Lotes!$A$5:$A$204,0)),""))</x:f>
      </x:c>
      <x:c r="G57" s="27"/>
      <x:c r="H57" s="40" t="str">
        <x:f>IF(A57="","",IF(O57&lt;&gt;"","n.a.",IF(OR(C57="Saída",C57="Perda",C57="Ajuste negativo"),-G57,G57)))</x:f>
      </x:c>
      <x:c r="I57" s="181" t="str">
        <x:f>IF($D57="","",IFERROR(INDEX(Lotes!$K$5:$K$204,MATCH($D57,Lotes!$A$5:$A$204,0)),0))</x:f>
      </x:c>
      <x:c r="J57" s="181" t="str">
        <x:f>IF(A57="","",IF(O57&lt;&gt;"","n.a.",ABS(H57)*I57))</x:f>
      </x:c>
      <x:c r="K57" s="27"/>
      <x:c r="L57" s="27"/>
      <x:c r="M57" s="27"/>
      <x:c r="N57" s="27"/>
      <x:c r="O57" s="163" t="str">
        <x:f>IF(COUNTA(A57:D57,G57,K57:N57)=0,"",IF(OR(A57="",COUNTIFS($A$5:$A$304,A57)&lt;&gt;1),"ID ausente ou duplicado",IF(OR(NOT(ISNUMBER(B57)),B57&lt;=0),"Data ausente ou inválida",IF(AND(C57&lt;&gt;"Entrada",C57&lt;&gt;"Saída",C57&lt;&gt;"Perda",C57&lt;&gt;"Ajuste positivo",C57&lt;&gt;"Ajuste negativo"),"Tipo de movimento inválido",IF(OR(D57="",COUNTIFS(Lotes!$A$5:$A$204,D57)&lt;&gt;1),"Lote ausente ou desconhecido",IF(COUNTIFS(Lotes!$A$5:$A$204,D57,Lotes!$S$5:$S$204,"?*")&gt;0,"Revisar cadastro do lote",IF(B57&lt;INDEX(Lotes!$E$5:$E$204,MATCH(D57,Lotes!$A$5:$A$204,0)),"Movimento anterior ao recebimento",IF(OR(NOT(ISNUMBER(G57)),G57&lt;=0),"Quantidade ausente ou inválida",""))))))))</x:f>
      </x:c>
      <x:c r="P57" s="163" t="n">
        <x:f>IF(O57="",0,1)</x:f>
        <x:v>0</x:v>
      </x:c>
      <x:c r="Q57" s="163" t="n">
        <x:f>IF(COUNTA(A57:D57,G57,K57:N57)=0,0,IF(OR(Listas!$B$19="Todos",E57=Listas!$B$19,E57="",COUNTIFS(Lotes!$A$5:$A$204,D57)&lt;&gt;1),1,0))</x:f>
        <x:v>0</x:v>
      </x:c>
      <x:c r="R57" s="1"/>
      <x:c r="S57" s="1"/>
      <x:c r="T57" s="1"/>
      <x:c r="U57" s="1"/>
      <x:c r="V57" s="1"/>
      <x:c r="W57" s="1"/>
    </x:row>
    <x:row r="58" ht="32" customHeight="1">
      <x:c r="A58" s="170"/>
      <x:c r="B58" s="179"/>
      <x:c r="C58" s="170"/>
      <x:c r="D58" s="170"/>
      <x:c r="E58" s="40" t="str">
        <x:f>IF($D58="","",IFERROR(INDEX(Lotes!$B$5:$B$204,MATCH($D58,Lotes!$A$5:$A$204,0)),""))</x:f>
      </x:c>
      <x:c r="F58" s="40" t="str">
        <x:f>IF($D58="","",IFERROR(INDEX(Lotes!$C$5:$C$204,MATCH($D58,Lotes!$A$5:$A$204,0)),""))</x:f>
      </x:c>
      <x:c r="G58" s="27"/>
      <x:c r="H58" s="40" t="str">
        <x:f>IF(A58="","",IF(O58&lt;&gt;"","n.a.",IF(OR(C58="Saída",C58="Perda",C58="Ajuste negativo"),-G58,G58)))</x:f>
      </x:c>
      <x:c r="I58" s="181" t="str">
        <x:f>IF($D58="","",IFERROR(INDEX(Lotes!$K$5:$K$204,MATCH($D58,Lotes!$A$5:$A$204,0)),0))</x:f>
      </x:c>
      <x:c r="J58" s="181" t="str">
        <x:f>IF(A58="","",IF(O58&lt;&gt;"","n.a.",ABS(H58)*I58))</x:f>
      </x:c>
      <x:c r="K58" s="27"/>
      <x:c r="L58" s="27"/>
      <x:c r="M58" s="27"/>
      <x:c r="N58" s="27"/>
      <x:c r="O58" s="163" t="str">
        <x:f>IF(COUNTA(A58:D58,G58,K58:N58)=0,"",IF(OR(A58="",COUNTIFS($A$5:$A$304,A58)&lt;&gt;1),"ID ausente ou duplicado",IF(OR(NOT(ISNUMBER(B58)),B58&lt;=0),"Data ausente ou inválida",IF(AND(C58&lt;&gt;"Entrada",C58&lt;&gt;"Saída",C58&lt;&gt;"Perda",C58&lt;&gt;"Ajuste positivo",C58&lt;&gt;"Ajuste negativo"),"Tipo de movimento inválido",IF(OR(D58="",COUNTIFS(Lotes!$A$5:$A$204,D58)&lt;&gt;1),"Lote ausente ou desconhecido",IF(COUNTIFS(Lotes!$A$5:$A$204,D58,Lotes!$S$5:$S$204,"?*")&gt;0,"Revisar cadastro do lote",IF(B58&lt;INDEX(Lotes!$E$5:$E$204,MATCH(D58,Lotes!$A$5:$A$204,0)),"Movimento anterior ao recebimento",IF(OR(NOT(ISNUMBER(G58)),G58&lt;=0),"Quantidade ausente ou inválida",""))))))))</x:f>
      </x:c>
      <x:c r="P58" s="163" t="n">
        <x:f>IF(O58="",0,1)</x:f>
        <x:v>0</x:v>
      </x:c>
      <x:c r="Q58" s="163" t="n">
        <x:f>IF(COUNTA(A58:D58,G58,K58:N58)=0,0,IF(OR(Listas!$B$19="Todos",E58=Listas!$B$19,E58="",COUNTIFS(Lotes!$A$5:$A$204,D58)&lt;&gt;1),1,0))</x:f>
        <x:v>0</x:v>
      </x:c>
      <x:c r="R58" s="1"/>
      <x:c r="S58" s="1"/>
      <x:c r="T58" s="1"/>
      <x:c r="U58" s="1"/>
      <x:c r="V58" s="1"/>
      <x:c r="W58" s="1"/>
    </x:row>
    <x:row r="59" ht="32" customHeight="1">
      <x:c r="A59" s="170"/>
      <x:c r="B59" s="179"/>
      <x:c r="C59" s="170"/>
      <x:c r="D59" s="170"/>
      <x:c r="E59" s="40" t="str">
        <x:f>IF($D59="","",IFERROR(INDEX(Lotes!$B$5:$B$204,MATCH($D59,Lotes!$A$5:$A$204,0)),""))</x:f>
      </x:c>
      <x:c r="F59" s="40" t="str">
        <x:f>IF($D59="","",IFERROR(INDEX(Lotes!$C$5:$C$204,MATCH($D59,Lotes!$A$5:$A$204,0)),""))</x:f>
      </x:c>
      <x:c r="G59" s="27"/>
      <x:c r="H59" s="40" t="str">
        <x:f>IF(A59="","",IF(O59&lt;&gt;"","n.a.",IF(OR(C59="Saída",C59="Perda",C59="Ajuste negativo"),-G59,G59)))</x:f>
      </x:c>
      <x:c r="I59" s="181" t="str">
        <x:f>IF($D59="","",IFERROR(INDEX(Lotes!$K$5:$K$204,MATCH($D59,Lotes!$A$5:$A$204,0)),0))</x:f>
      </x:c>
      <x:c r="J59" s="181" t="str">
        <x:f>IF(A59="","",IF(O59&lt;&gt;"","n.a.",ABS(H59)*I59))</x:f>
      </x:c>
      <x:c r="K59" s="27"/>
      <x:c r="L59" s="27"/>
      <x:c r="M59" s="27"/>
      <x:c r="N59" s="27"/>
      <x:c r="O59" s="163" t="str">
        <x:f>IF(COUNTA(A59:D59,G59,K59:N59)=0,"",IF(OR(A59="",COUNTIFS($A$5:$A$304,A59)&lt;&gt;1),"ID ausente ou duplicado",IF(OR(NOT(ISNUMBER(B59)),B59&lt;=0),"Data ausente ou inválida",IF(AND(C59&lt;&gt;"Entrada",C59&lt;&gt;"Saída",C59&lt;&gt;"Perda",C59&lt;&gt;"Ajuste positivo",C59&lt;&gt;"Ajuste negativo"),"Tipo de movimento inválido",IF(OR(D59="",COUNTIFS(Lotes!$A$5:$A$204,D59)&lt;&gt;1),"Lote ausente ou desconhecido",IF(COUNTIFS(Lotes!$A$5:$A$204,D59,Lotes!$S$5:$S$204,"?*")&gt;0,"Revisar cadastro do lote",IF(B59&lt;INDEX(Lotes!$E$5:$E$204,MATCH(D59,Lotes!$A$5:$A$204,0)),"Movimento anterior ao recebimento",IF(OR(NOT(ISNUMBER(G59)),G59&lt;=0),"Quantidade ausente ou inválida",""))))))))</x:f>
      </x:c>
      <x:c r="P59" s="163" t="n">
        <x:f>IF(O59="",0,1)</x:f>
        <x:v>0</x:v>
      </x:c>
      <x:c r="Q59" s="163" t="n">
        <x:f>IF(COUNTA(A59:D59,G59,K59:N59)=0,0,IF(OR(Listas!$B$19="Todos",E59=Listas!$B$19,E59="",COUNTIFS(Lotes!$A$5:$A$204,D59)&lt;&gt;1),1,0))</x:f>
        <x:v>0</x:v>
      </x:c>
      <x:c r="R59" s="1"/>
      <x:c r="S59" s="1"/>
      <x:c r="T59" s="1"/>
      <x:c r="U59" s="1"/>
      <x:c r="V59" s="1"/>
      <x:c r="W59" s="1"/>
    </x:row>
    <x:row r="60" ht="32" customHeight="1">
      <x:c r="A60" s="170"/>
      <x:c r="B60" s="179"/>
      <x:c r="C60" s="170"/>
      <x:c r="D60" s="170"/>
      <x:c r="E60" s="40" t="str">
        <x:f>IF($D60="","",IFERROR(INDEX(Lotes!$B$5:$B$204,MATCH($D60,Lotes!$A$5:$A$204,0)),""))</x:f>
      </x:c>
      <x:c r="F60" s="40" t="str">
        <x:f>IF($D60="","",IFERROR(INDEX(Lotes!$C$5:$C$204,MATCH($D60,Lotes!$A$5:$A$204,0)),""))</x:f>
      </x:c>
      <x:c r="G60" s="27"/>
      <x:c r="H60" s="40" t="str">
        <x:f>IF(A60="","",IF(O60&lt;&gt;"","n.a.",IF(OR(C60="Saída",C60="Perda",C60="Ajuste negativo"),-G60,G60)))</x:f>
      </x:c>
      <x:c r="I60" s="181" t="str">
        <x:f>IF($D60="","",IFERROR(INDEX(Lotes!$K$5:$K$204,MATCH($D60,Lotes!$A$5:$A$204,0)),0))</x:f>
      </x:c>
      <x:c r="J60" s="181" t="str">
        <x:f>IF(A60="","",IF(O60&lt;&gt;"","n.a.",ABS(H60)*I60))</x:f>
      </x:c>
      <x:c r="K60" s="27"/>
      <x:c r="L60" s="27"/>
      <x:c r="M60" s="27"/>
      <x:c r="N60" s="27"/>
      <x:c r="O60" s="163" t="str">
        <x:f>IF(COUNTA(A60:D60,G60,K60:N60)=0,"",IF(OR(A60="",COUNTIFS($A$5:$A$304,A60)&lt;&gt;1),"ID ausente ou duplicado",IF(OR(NOT(ISNUMBER(B60)),B60&lt;=0),"Data ausente ou inválida",IF(AND(C60&lt;&gt;"Entrada",C60&lt;&gt;"Saída",C60&lt;&gt;"Perda",C60&lt;&gt;"Ajuste positivo",C60&lt;&gt;"Ajuste negativo"),"Tipo de movimento inválido",IF(OR(D60="",COUNTIFS(Lotes!$A$5:$A$204,D60)&lt;&gt;1),"Lote ausente ou desconhecido",IF(COUNTIFS(Lotes!$A$5:$A$204,D60,Lotes!$S$5:$S$204,"?*")&gt;0,"Revisar cadastro do lote",IF(B60&lt;INDEX(Lotes!$E$5:$E$204,MATCH(D60,Lotes!$A$5:$A$204,0)),"Movimento anterior ao recebimento",IF(OR(NOT(ISNUMBER(G60)),G60&lt;=0),"Quantidade ausente ou inválida",""))))))))</x:f>
      </x:c>
      <x:c r="P60" s="163" t="n">
        <x:f>IF(O60="",0,1)</x:f>
        <x:v>0</x:v>
      </x:c>
      <x:c r="Q60" s="163" t="n">
        <x:f>IF(COUNTA(A60:D60,G60,K60:N60)=0,0,IF(OR(Listas!$B$19="Todos",E60=Listas!$B$19,E60="",COUNTIFS(Lotes!$A$5:$A$204,D60)&lt;&gt;1),1,0))</x:f>
        <x:v>0</x:v>
      </x:c>
      <x:c r="R60" s="1"/>
      <x:c r="S60" s="1"/>
      <x:c r="T60" s="1"/>
      <x:c r="U60" s="1"/>
      <x:c r="V60" s="1"/>
      <x:c r="W60" s="1"/>
    </x:row>
    <x:row r="61" ht="32" customHeight="1">
      <x:c r="A61" s="170"/>
      <x:c r="B61" s="179"/>
      <x:c r="C61" s="170"/>
      <x:c r="D61" s="170"/>
      <x:c r="E61" s="40" t="str">
        <x:f>IF($D61="","",IFERROR(INDEX(Lotes!$B$5:$B$204,MATCH($D61,Lotes!$A$5:$A$204,0)),""))</x:f>
      </x:c>
      <x:c r="F61" s="40" t="str">
        <x:f>IF($D61="","",IFERROR(INDEX(Lotes!$C$5:$C$204,MATCH($D61,Lotes!$A$5:$A$204,0)),""))</x:f>
      </x:c>
      <x:c r="G61" s="27"/>
      <x:c r="H61" s="40" t="str">
        <x:f>IF(A61="","",IF(O61&lt;&gt;"","n.a.",IF(OR(C61="Saída",C61="Perda",C61="Ajuste negativo"),-G61,G61)))</x:f>
      </x:c>
      <x:c r="I61" s="181" t="str">
        <x:f>IF($D61="","",IFERROR(INDEX(Lotes!$K$5:$K$204,MATCH($D61,Lotes!$A$5:$A$204,0)),0))</x:f>
      </x:c>
      <x:c r="J61" s="181" t="str">
        <x:f>IF(A61="","",IF(O61&lt;&gt;"","n.a.",ABS(H61)*I61))</x:f>
      </x:c>
      <x:c r="K61" s="27"/>
      <x:c r="L61" s="27"/>
      <x:c r="M61" s="27"/>
      <x:c r="N61" s="27"/>
      <x:c r="O61" s="163" t="str">
        <x:f>IF(COUNTA(A61:D61,G61,K61:N61)=0,"",IF(OR(A61="",COUNTIFS($A$5:$A$304,A61)&lt;&gt;1),"ID ausente ou duplicado",IF(OR(NOT(ISNUMBER(B61)),B61&lt;=0),"Data ausente ou inválida",IF(AND(C61&lt;&gt;"Entrada",C61&lt;&gt;"Saída",C61&lt;&gt;"Perda",C61&lt;&gt;"Ajuste positivo",C61&lt;&gt;"Ajuste negativo"),"Tipo de movimento inválido",IF(OR(D61="",COUNTIFS(Lotes!$A$5:$A$204,D61)&lt;&gt;1),"Lote ausente ou desconhecido",IF(COUNTIFS(Lotes!$A$5:$A$204,D61,Lotes!$S$5:$S$204,"?*")&gt;0,"Revisar cadastro do lote",IF(B61&lt;INDEX(Lotes!$E$5:$E$204,MATCH(D61,Lotes!$A$5:$A$204,0)),"Movimento anterior ao recebimento",IF(OR(NOT(ISNUMBER(G61)),G61&lt;=0),"Quantidade ausente ou inválida",""))))))))</x:f>
      </x:c>
      <x:c r="P61" s="163" t="n">
        <x:f>IF(O61="",0,1)</x:f>
        <x:v>0</x:v>
      </x:c>
      <x:c r="Q61" s="163" t="n">
        <x:f>IF(COUNTA(A61:D61,G61,K61:N61)=0,0,IF(OR(Listas!$B$19="Todos",E61=Listas!$B$19,E61="",COUNTIFS(Lotes!$A$5:$A$204,D61)&lt;&gt;1),1,0))</x:f>
        <x:v>0</x:v>
      </x:c>
      <x:c r="R61" s="1"/>
      <x:c r="S61" s="1"/>
      <x:c r="T61" s="1"/>
      <x:c r="U61" s="1"/>
      <x:c r="V61" s="1"/>
      <x:c r="W61" s="1"/>
    </x:row>
    <x:row r="62" ht="32" customHeight="1">
      <x:c r="A62" s="170"/>
      <x:c r="B62" s="179"/>
      <x:c r="C62" s="170"/>
      <x:c r="D62" s="170"/>
      <x:c r="E62" s="40" t="str">
        <x:f>IF($D62="","",IFERROR(INDEX(Lotes!$B$5:$B$204,MATCH($D62,Lotes!$A$5:$A$204,0)),""))</x:f>
      </x:c>
      <x:c r="F62" s="40" t="str">
        <x:f>IF($D62="","",IFERROR(INDEX(Lotes!$C$5:$C$204,MATCH($D62,Lotes!$A$5:$A$204,0)),""))</x:f>
      </x:c>
      <x:c r="G62" s="27"/>
      <x:c r="H62" s="40" t="str">
        <x:f>IF(A62="","",IF(O62&lt;&gt;"","n.a.",IF(OR(C62="Saída",C62="Perda",C62="Ajuste negativo"),-G62,G62)))</x:f>
      </x:c>
      <x:c r="I62" s="181" t="str">
        <x:f>IF($D62="","",IFERROR(INDEX(Lotes!$K$5:$K$204,MATCH($D62,Lotes!$A$5:$A$204,0)),0))</x:f>
      </x:c>
      <x:c r="J62" s="181" t="str">
        <x:f>IF(A62="","",IF(O62&lt;&gt;"","n.a.",ABS(H62)*I62))</x:f>
      </x:c>
      <x:c r="K62" s="27"/>
      <x:c r="L62" s="27"/>
      <x:c r="M62" s="27"/>
      <x:c r="N62" s="27"/>
      <x:c r="O62" s="163" t="str">
        <x:f>IF(COUNTA(A62:D62,G62,K62:N62)=0,"",IF(OR(A62="",COUNTIFS($A$5:$A$304,A62)&lt;&gt;1),"ID ausente ou duplicado",IF(OR(NOT(ISNUMBER(B62)),B62&lt;=0),"Data ausente ou inválida",IF(AND(C62&lt;&gt;"Entrada",C62&lt;&gt;"Saída",C62&lt;&gt;"Perda",C62&lt;&gt;"Ajuste positivo",C62&lt;&gt;"Ajuste negativo"),"Tipo de movimento inválido",IF(OR(D62="",COUNTIFS(Lotes!$A$5:$A$204,D62)&lt;&gt;1),"Lote ausente ou desconhecido",IF(COUNTIFS(Lotes!$A$5:$A$204,D62,Lotes!$S$5:$S$204,"?*")&gt;0,"Revisar cadastro do lote",IF(B62&lt;INDEX(Lotes!$E$5:$E$204,MATCH(D62,Lotes!$A$5:$A$204,0)),"Movimento anterior ao recebimento",IF(OR(NOT(ISNUMBER(G62)),G62&lt;=0),"Quantidade ausente ou inválida",""))))))))</x:f>
      </x:c>
      <x:c r="P62" s="163" t="n">
        <x:f>IF(O62="",0,1)</x:f>
        <x:v>0</x:v>
      </x:c>
      <x:c r="Q62" s="163" t="n">
        <x:f>IF(COUNTA(A62:D62,G62,K62:N62)=0,0,IF(OR(Listas!$B$19="Todos",E62=Listas!$B$19,E62="",COUNTIFS(Lotes!$A$5:$A$204,D62)&lt;&gt;1),1,0))</x:f>
        <x:v>0</x:v>
      </x:c>
      <x:c r="R62" s="1"/>
      <x:c r="S62" s="1"/>
      <x:c r="T62" s="1"/>
      <x:c r="U62" s="1"/>
      <x:c r="V62" s="1"/>
      <x:c r="W62" s="1"/>
    </x:row>
    <x:row r="63" ht="32" customHeight="1">
      <x:c r="A63" s="170"/>
      <x:c r="B63" s="179"/>
      <x:c r="C63" s="170"/>
      <x:c r="D63" s="170"/>
      <x:c r="E63" s="40" t="str">
        <x:f>IF($D63="","",IFERROR(INDEX(Lotes!$B$5:$B$204,MATCH($D63,Lotes!$A$5:$A$204,0)),""))</x:f>
      </x:c>
      <x:c r="F63" s="40" t="str">
        <x:f>IF($D63="","",IFERROR(INDEX(Lotes!$C$5:$C$204,MATCH($D63,Lotes!$A$5:$A$204,0)),""))</x:f>
      </x:c>
      <x:c r="G63" s="27"/>
      <x:c r="H63" s="40" t="str">
        <x:f>IF(A63="","",IF(O63&lt;&gt;"","n.a.",IF(OR(C63="Saída",C63="Perda",C63="Ajuste negativo"),-G63,G63)))</x:f>
      </x:c>
      <x:c r="I63" s="181" t="str">
        <x:f>IF($D63="","",IFERROR(INDEX(Lotes!$K$5:$K$204,MATCH($D63,Lotes!$A$5:$A$204,0)),0))</x:f>
      </x:c>
      <x:c r="J63" s="181" t="str">
        <x:f>IF(A63="","",IF(O63&lt;&gt;"","n.a.",ABS(H63)*I63))</x:f>
      </x:c>
      <x:c r="K63" s="27"/>
      <x:c r="L63" s="27"/>
      <x:c r="M63" s="27"/>
      <x:c r="N63" s="27"/>
      <x:c r="O63" s="163" t="str">
        <x:f>IF(COUNTA(A63:D63,G63,K63:N63)=0,"",IF(OR(A63="",COUNTIFS($A$5:$A$304,A63)&lt;&gt;1),"ID ausente ou duplicado",IF(OR(NOT(ISNUMBER(B63)),B63&lt;=0),"Data ausente ou inválida",IF(AND(C63&lt;&gt;"Entrada",C63&lt;&gt;"Saída",C63&lt;&gt;"Perda",C63&lt;&gt;"Ajuste positivo",C63&lt;&gt;"Ajuste negativo"),"Tipo de movimento inválido",IF(OR(D63="",COUNTIFS(Lotes!$A$5:$A$204,D63)&lt;&gt;1),"Lote ausente ou desconhecido",IF(COUNTIFS(Lotes!$A$5:$A$204,D63,Lotes!$S$5:$S$204,"?*")&gt;0,"Revisar cadastro do lote",IF(B63&lt;INDEX(Lotes!$E$5:$E$204,MATCH(D63,Lotes!$A$5:$A$204,0)),"Movimento anterior ao recebimento",IF(OR(NOT(ISNUMBER(G63)),G63&lt;=0),"Quantidade ausente ou inválida",""))))))))</x:f>
      </x:c>
      <x:c r="P63" s="163" t="n">
        <x:f>IF(O63="",0,1)</x:f>
        <x:v>0</x:v>
      </x:c>
      <x:c r="Q63" s="163" t="n">
        <x:f>IF(COUNTA(A63:D63,G63,K63:N63)=0,0,IF(OR(Listas!$B$19="Todos",E63=Listas!$B$19,E63="",COUNTIFS(Lotes!$A$5:$A$204,D63)&lt;&gt;1),1,0))</x:f>
        <x:v>0</x:v>
      </x:c>
      <x:c r="R63" s="1"/>
      <x:c r="S63" s="1"/>
      <x:c r="T63" s="1"/>
      <x:c r="U63" s="1"/>
      <x:c r="V63" s="1"/>
      <x:c r="W63" s="1"/>
    </x:row>
    <x:row r="64" ht="32" customHeight="1">
      <x:c r="A64" s="170"/>
      <x:c r="B64" s="179"/>
      <x:c r="C64" s="170"/>
      <x:c r="D64" s="170"/>
      <x:c r="E64" s="40" t="str">
        <x:f>IF($D64="","",IFERROR(INDEX(Lotes!$B$5:$B$204,MATCH($D64,Lotes!$A$5:$A$204,0)),""))</x:f>
      </x:c>
      <x:c r="F64" s="40" t="str">
        <x:f>IF($D64="","",IFERROR(INDEX(Lotes!$C$5:$C$204,MATCH($D64,Lotes!$A$5:$A$204,0)),""))</x:f>
      </x:c>
      <x:c r="G64" s="27"/>
      <x:c r="H64" s="40" t="str">
        <x:f>IF(A64="","",IF(O64&lt;&gt;"","n.a.",IF(OR(C64="Saída",C64="Perda",C64="Ajuste negativo"),-G64,G64)))</x:f>
      </x:c>
      <x:c r="I64" s="181" t="str">
        <x:f>IF($D64="","",IFERROR(INDEX(Lotes!$K$5:$K$204,MATCH($D64,Lotes!$A$5:$A$204,0)),0))</x:f>
      </x:c>
      <x:c r="J64" s="181" t="str">
        <x:f>IF(A64="","",IF(O64&lt;&gt;"","n.a.",ABS(H64)*I64))</x:f>
      </x:c>
      <x:c r="K64" s="27"/>
      <x:c r="L64" s="27"/>
      <x:c r="M64" s="27"/>
      <x:c r="N64" s="27"/>
      <x:c r="O64" s="163" t="str">
        <x:f>IF(COUNTA(A64:D64,G64,K64:N64)=0,"",IF(OR(A64="",COUNTIFS($A$5:$A$304,A64)&lt;&gt;1),"ID ausente ou duplicado",IF(OR(NOT(ISNUMBER(B64)),B64&lt;=0),"Data ausente ou inválida",IF(AND(C64&lt;&gt;"Entrada",C64&lt;&gt;"Saída",C64&lt;&gt;"Perda",C64&lt;&gt;"Ajuste positivo",C64&lt;&gt;"Ajuste negativo"),"Tipo de movimento inválido",IF(OR(D64="",COUNTIFS(Lotes!$A$5:$A$204,D64)&lt;&gt;1),"Lote ausente ou desconhecido",IF(COUNTIFS(Lotes!$A$5:$A$204,D64,Lotes!$S$5:$S$204,"?*")&gt;0,"Revisar cadastro do lote",IF(B64&lt;INDEX(Lotes!$E$5:$E$204,MATCH(D64,Lotes!$A$5:$A$204,0)),"Movimento anterior ao recebimento",IF(OR(NOT(ISNUMBER(G64)),G64&lt;=0),"Quantidade ausente ou inválida",""))))))))</x:f>
      </x:c>
      <x:c r="P64" s="163" t="n">
        <x:f>IF(O64="",0,1)</x:f>
        <x:v>0</x:v>
      </x:c>
      <x:c r="Q64" s="163" t="n">
        <x:f>IF(COUNTA(A64:D64,G64,K64:N64)=0,0,IF(OR(Listas!$B$19="Todos",E64=Listas!$B$19,E64="",COUNTIFS(Lotes!$A$5:$A$204,D64)&lt;&gt;1),1,0))</x:f>
        <x:v>0</x:v>
      </x:c>
      <x:c r="R64" s="1"/>
      <x:c r="S64" s="1"/>
      <x:c r="T64" s="1"/>
      <x:c r="U64" s="1"/>
      <x:c r="V64" s="1"/>
      <x:c r="W64" s="1"/>
    </x:row>
    <x:row r="65" ht="32" customHeight="1">
      <x:c r="A65" s="170"/>
      <x:c r="B65" s="179"/>
      <x:c r="C65" s="170"/>
      <x:c r="D65" s="170"/>
      <x:c r="E65" s="40" t="str">
        <x:f>IF($D65="","",IFERROR(INDEX(Lotes!$B$5:$B$204,MATCH($D65,Lotes!$A$5:$A$204,0)),""))</x:f>
      </x:c>
      <x:c r="F65" s="40" t="str">
        <x:f>IF($D65="","",IFERROR(INDEX(Lotes!$C$5:$C$204,MATCH($D65,Lotes!$A$5:$A$204,0)),""))</x:f>
      </x:c>
      <x:c r="G65" s="27"/>
      <x:c r="H65" s="40" t="str">
        <x:f>IF(A65="","",IF(O65&lt;&gt;"","n.a.",IF(OR(C65="Saída",C65="Perda",C65="Ajuste negativo"),-G65,G65)))</x:f>
      </x:c>
      <x:c r="I65" s="181" t="str">
        <x:f>IF($D65="","",IFERROR(INDEX(Lotes!$K$5:$K$204,MATCH($D65,Lotes!$A$5:$A$204,0)),0))</x:f>
      </x:c>
      <x:c r="J65" s="181" t="str">
        <x:f>IF(A65="","",IF(O65&lt;&gt;"","n.a.",ABS(H65)*I65))</x:f>
      </x:c>
      <x:c r="K65" s="27"/>
      <x:c r="L65" s="27"/>
      <x:c r="M65" s="27"/>
      <x:c r="N65" s="27"/>
      <x:c r="O65" s="163" t="str">
        <x:f>IF(COUNTA(A65:D65,G65,K65:N65)=0,"",IF(OR(A65="",COUNTIFS($A$5:$A$304,A65)&lt;&gt;1),"ID ausente ou duplicado",IF(OR(NOT(ISNUMBER(B65)),B65&lt;=0),"Data ausente ou inválida",IF(AND(C65&lt;&gt;"Entrada",C65&lt;&gt;"Saída",C65&lt;&gt;"Perda",C65&lt;&gt;"Ajuste positivo",C65&lt;&gt;"Ajuste negativo"),"Tipo de movimento inválido",IF(OR(D65="",COUNTIFS(Lotes!$A$5:$A$204,D65)&lt;&gt;1),"Lote ausente ou desconhecido",IF(COUNTIFS(Lotes!$A$5:$A$204,D65,Lotes!$S$5:$S$204,"?*")&gt;0,"Revisar cadastro do lote",IF(B65&lt;INDEX(Lotes!$E$5:$E$204,MATCH(D65,Lotes!$A$5:$A$204,0)),"Movimento anterior ao recebimento",IF(OR(NOT(ISNUMBER(G65)),G65&lt;=0),"Quantidade ausente ou inválida",""))))))))</x:f>
      </x:c>
      <x:c r="P65" s="163" t="n">
        <x:f>IF(O65="",0,1)</x:f>
        <x:v>0</x:v>
      </x:c>
      <x:c r="Q65" s="163" t="n">
        <x:f>IF(COUNTA(A65:D65,G65,K65:N65)=0,0,IF(OR(Listas!$B$19="Todos",E65=Listas!$B$19,E65="",COUNTIFS(Lotes!$A$5:$A$204,D65)&lt;&gt;1),1,0))</x:f>
        <x:v>0</x:v>
      </x:c>
      <x:c r="R65" s="1"/>
      <x:c r="S65" s="1"/>
      <x:c r="T65" s="1"/>
      <x:c r="U65" s="1"/>
      <x:c r="V65" s="1"/>
      <x:c r="W65" s="1"/>
    </x:row>
    <x:row r="66" ht="32" customHeight="1">
      <x:c r="A66" s="170"/>
      <x:c r="B66" s="179"/>
      <x:c r="C66" s="170"/>
      <x:c r="D66" s="170"/>
      <x:c r="E66" s="40" t="str">
        <x:f>IF($D66="","",IFERROR(INDEX(Lotes!$B$5:$B$204,MATCH($D66,Lotes!$A$5:$A$204,0)),""))</x:f>
      </x:c>
      <x:c r="F66" s="40" t="str">
        <x:f>IF($D66="","",IFERROR(INDEX(Lotes!$C$5:$C$204,MATCH($D66,Lotes!$A$5:$A$204,0)),""))</x:f>
      </x:c>
      <x:c r="G66" s="27"/>
      <x:c r="H66" s="40" t="str">
        <x:f>IF(A66="","",IF(O66&lt;&gt;"","n.a.",IF(OR(C66="Saída",C66="Perda",C66="Ajuste negativo"),-G66,G66)))</x:f>
      </x:c>
      <x:c r="I66" s="181" t="str">
        <x:f>IF($D66="","",IFERROR(INDEX(Lotes!$K$5:$K$204,MATCH($D66,Lotes!$A$5:$A$204,0)),0))</x:f>
      </x:c>
      <x:c r="J66" s="181" t="str">
        <x:f>IF(A66="","",IF(O66&lt;&gt;"","n.a.",ABS(H66)*I66))</x:f>
      </x:c>
      <x:c r="K66" s="27"/>
      <x:c r="L66" s="27"/>
      <x:c r="M66" s="27"/>
      <x:c r="N66" s="27"/>
      <x:c r="O66" s="163" t="str">
        <x:f>IF(COUNTA(A66:D66,G66,K66:N66)=0,"",IF(OR(A66="",COUNTIFS($A$5:$A$304,A66)&lt;&gt;1),"ID ausente ou duplicado",IF(OR(NOT(ISNUMBER(B66)),B66&lt;=0),"Data ausente ou inválida",IF(AND(C66&lt;&gt;"Entrada",C66&lt;&gt;"Saída",C66&lt;&gt;"Perda",C66&lt;&gt;"Ajuste positivo",C66&lt;&gt;"Ajuste negativo"),"Tipo de movimento inválido",IF(OR(D66="",COUNTIFS(Lotes!$A$5:$A$204,D66)&lt;&gt;1),"Lote ausente ou desconhecido",IF(COUNTIFS(Lotes!$A$5:$A$204,D66,Lotes!$S$5:$S$204,"?*")&gt;0,"Revisar cadastro do lote",IF(B66&lt;INDEX(Lotes!$E$5:$E$204,MATCH(D66,Lotes!$A$5:$A$204,0)),"Movimento anterior ao recebimento",IF(OR(NOT(ISNUMBER(G66)),G66&lt;=0),"Quantidade ausente ou inválida",""))))))))</x:f>
      </x:c>
      <x:c r="P66" s="163" t="n">
        <x:f>IF(O66="",0,1)</x:f>
        <x:v>0</x:v>
      </x:c>
      <x:c r="Q66" s="163" t="n">
        <x:f>IF(COUNTA(A66:D66,G66,K66:N66)=0,0,IF(OR(Listas!$B$19="Todos",E66=Listas!$B$19,E66="",COUNTIFS(Lotes!$A$5:$A$204,D66)&lt;&gt;1),1,0))</x:f>
        <x:v>0</x:v>
      </x:c>
      <x:c r="R66" s="1"/>
      <x:c r="S66" s="1"/>
      <x:c r="T66" s="1"/>
      <x:c r="U66" s="1"/>
      <x:c r="V66" s="1"/>
      <x:c r="W66" s="1"/>
    </x:row>
    <x:row r="67" ht="32" customHeight="1">
      <x:c r="A67" s="170"/>
      <x:c r="B67" s="179"/>
      <x:c r="C67" s="170"/>
      <x:c r="D67" s="170"/>
      <x:c r="E67" s="40" t="str">
        <x:f>IF($D67="","",IFERROR(INDEX(Lotes!$B$5:$B$204,MATCH($D67,Lotes!$A$5:$A$204,0)),""))</x:f>
      </x:c>
      <x:c r="F67" s="40" t="str">
        <x:f>IF($D67="","",IFERROR(INDEX(Lotes!$C$5:$C$204,MATCH($D67,Lotes!$A$5:$A$204,0)),""))</x:f>
      </x:c>
      <x:c r="G67" s="27"/>
      <x:c r="H67" s="40" t="str">
        <x:f>IF(A67="","",IF(O67&lt;&gt;"","n.a.",IF(OR(C67="Saída",C67="Perda",C67="Ajuste negativo"),-G67,G67)))</x:f>
      </x:c>
      <x:c r="I67" s="181" t="str">
        <x:f>IF($D67="","",IFERROR(INDEX(Lotes!$K$5:$K$204,MATCH($D67,Lotes!$A$5:$A$204,0)),0))</x:f>
      </x:c>
      <x:c r="J67" s="181" t="str">
        <x:f>IF(A67="","",IF(O67&lt;&gt;"","n.a.",ABS(H67)*I67))</x:f>
      </x:c>
      <x:c r="K67" s="27"/>
      <x:c r="L67" s="27"/>
      <x:c r="M67" s="27"/>
      <x:c r="N67" s="27"/>
      <x:c r="O67" s="163" t="str">
        <x:f>IF(COUNTA(A67:D67,G67,K67:N67)=0,"",IF(OR(A67="",COUNTIFS($A$5:$A$304,A67)&lt;&gt;1),"ID ausente ou duplicado",IF(OR(NOT(ISNUMBER(B67)),B67&lt;=0),"Data ausente ou inválida",IF(AND(C67&lt;&gt;"Entrada",C67&lt;&gt;"Saída",C67&lt;&gt;"Perda",C67&lt;&gt;"Ajuste positivo",C67&lt;&gt;"Ajuste negativo"),"Tipo de movimento inválido",IF(OR(D67="",COUNTIFS(Lotes!$A$5:$A$204,D67)&lt;&gt;1),"Lote ausente ou desconhecido",IF(COUNTIFS(Lotes!$A$5:$A$204,D67,Lotes!$S$5:$S$204,"?*")&gt;0,"Revisar cadastro do lote",IF(B67&lt;INDEX(Lotes!$E$5:$E$204,MATCH(D67,Lotes!$A$5:$A$204,0)),"Movimento anterior ao recebimento",IF(OR(NOT(ISNUMBER(G67)),G67&lt;=0),"Quantidade ausente ou inválida",""))))))))</x:f>
      </x:c>
      <x:c r="P67" s="163" t="n">
        <x:f>IF(O67="",0,1)</x:f>
        <x:v>0</x:v>
      </x:c>
      <x:c r="Q67" s="163" t="n">
        <x:f>IF(COUNTA(A67:D67,G67,K67:N67)=0,0,IF(OR(Listas!$B$19="Todos",E67=Listas!$B$19,E67="",COUNTIFS(Lotes!$A$5:$A$204,D67)&lt;&gt;1),1,0))</x:f>
        <x:v>0</x:v>
      </x:c>
      <x:c r="R67" s="1"/>
      <x:c r="S67" s="1"/>
      <x:c r="T67" s="1"/>
      <x:c r="U67" s="1"/>
      <x:c r="V67" s="1"/>
      <x:c r="W67" s="1"/>
    </x:row>
    <x:row r="68" ht="32" customHeight="1">
      <x:c r="A68" s="170"/>
      <x:c r="B68" s="179"/>
      <x:c r="C68" s="170"/>
      <x:c r="D68" s="170"/>
      <x:c r="E68" s="40" t="str">
        <x:f>IF($D68="","",IFERROR(INDEX(Lotes!$B$5:$B$204,MATCH($D68,Lotes!$A$5:$A$204,0)),""))</x:f>
      </x:c>
      <x:c r="F68" s="40" t="str">
        <x:f>IF($D68="","",IFERROR(INDEX(Lotes!$C$5:$C$204,MATCH($D68,Lotes!$A$5:$A$204,0)),""))</x:f>
      </x:c>
      <x:c r="G68" s="27"/>
      <x:c r="H68" s="40" t="str">
        <x:f>IF(A68="","",IF(O68&lt;&gt;"","n.a.",IF(OR(C68="Saída",C68="Perda",C68="Ajuste negativo"),-G68,G68)))</x:f>
      </x:c>
      <x:c r="I68" s="181" t="str">
        <x:f>IF($D68="","",IFERROR(INDEX(Lotes!$K$5:$K$204,MATCH($D68,Lotes!$A$5:$A$204,0)),0))</x:f>
      </x:c>
      <x:c r="J68" s="181" t="str">
        <x:f>IF(A68="","",IF(O68&lt;&gt;"","n.a.",ABS(H68)*I68))</x:f>
      </x:c>
      <x:c r="K68" s="27"/>
      <x:c r="L68" s="27"/>
      <x:c r="M68" s="27"/>
      <x:c r="N68" s="27"/>
      <x:c r="O68" s="163" t="str">
        <x:f>IF(COUNTA(A68:D68,G68,K68:N68)=0,"",IF(OR(A68="",COUNTIFS($A$5:$A$304,A68)&lt;&gt;1),"ID ausente ou duplicado",IF(OR(NOT(ISNUMBER(B68)),B68&lt;=0),"Data ausente ou inválida",IF(AND(C68&lt;&gt;"Entrada",C68&lt;&gt;"Saída",C68&lt;&gt;"Perda",C68&lt;&gt;"Ajuste positivo",C68&lt;&gt;"Ajuste negativo"),"Tipo de movimento inválido",IF(OR(D68="",COUNTIFS(Lotes!$A$5:$A$204,D68)&lt;&gt;1),"Lote ausente ou desconhecido",IF(COUNTIFS(Lotes!$A$5:$A$204,D68,Lotes!$S$5:$S$204,"?*")&gt;0,"Revisar cadastro do lote",IF(B68&lt;INDEX(Lotes!$E$5:$E$204,MATCH(D68,Lotes!$A$5:$A$204,0)),"Movimento anterior ao recebimento",IF(OR(NOT(ISNUMBER(G68)),G68&lt;=0),"Quantidade ausente ou inválida",""))))))))</x:f>
      </x:c>
      <x:c r="P68" s="163" t="n">
        <x:f>IF(O68="",0,1)</x:f>
        <x:v>0</x:v>
      </x:c>
      <x:c r="Q68" s="163" t="n">
        <x:f>IF(COUNTA(A68:D68,G68,K68:N68)=0,0,IF(OR(Listas!$B$19="Todos",E68=Listas!$B$19,E68="",COUNTIFS(Lotes!$A$5:$A$204,D68)&lt;&gt;1),1,0))</x:f>
        <x:v>0</x:v>
      </x:c>
      <x:c r="R68" s="1"/>
      <x:c r="S68" s="1"/>
      <x:c r="T68" s="1"/>
      <x:c r="U68" s="1"/>
      <x:c r="V68" s="1"/>
      <x:c r="W68" s="1"/>
    </x:row>
    <x:row r="69" ht="32" customHeight="1">
      <x:c r="A69" s="170"/>
      <x:c r="B69" s="179"/>
      <x:c r="C69" s="170"/>
      <x:c r="D69" s="170"/>
      <x:c r="E69" s="40" t="str">
        <x:f>IF($D69="","",IFERROR(INDEX(Lotes!$B$5:$B$204,MATCH($D69,Lotes!$A$5:$A$204,0)),""))</x:f>
      </x:c>
      <x:c r="F69" s="40" t="str">
        <x:f>IF($D69="","",IFERROR(INDEX(Lotes!$C$5:$C$204,MATCH($D69,Lotes!$A$5:$A$204,0)),""))</x:f>
      </x:c>
      <x:c r="G69" s="27"/>
      <x:c r="H69" s="40" t="str">
        <x:f>IF(A69="","",IF(O69&lt;&gt;"","n.a.",IF(OR(C69="Saída",C69="Perda",C69="Ajuste negativo"),-G69,G69)))</x:f>
      </x:c>
      <x:c r="I69" s="181" t="str">
        <x:f>IF($D69="","",IFERROR(INDEX(Lotes!$K$5:$K$204,MATCH($D69,Lotes!$A$5:$A$204,0)),0))</x:f>
      </x:c>
      <x:c r="J69" s="181" t="str">
        <x:f>IF(A69="","",IF(O69&lt;&gt;"","n.a.",ABS(H69)*I69))</x:f>
      </x:c>
      <x:c r="K69" s="27"/>
      <x:c r="L69" s="27"/>
      <x:c r="M69" s="27"/>
      <x:c r="N69" s="27"/>
      <x:c r="O69" s="163" t="str">
        <x:f>IF(COUNTA(A69:D69,G69,K69:N69)=0,"",IF(OR(A69="",COUNTIFS($A$5:$A$304,A69)&lt;&gt;1),"ID ausente ou duplicado",IF(OR(NOT(ISNUMBER(B69)),B69&lt;=0),"Data ausente ou inválida",IF(AND(C69&lt;&gt;"Entrada",C69&lt;&gt;"Saída",C69&lt;&gt;"Perda",C69&lt;&gt;"Ajuste positivo",C69&lt;&gt;"Ajuste negativo"),"Tipo de movimento inválido",IF(OR(D69="",COUNTIFS(Lotes!$A$5:$A$204,D69)&lt;&gt;1),"Lote ausente ou desconhecido",IF(COUNTIFS(Lotes!$A$5:$A$204,D69,Lotes!$S$5:$S$204,"?*")&gt;0,"Revisar cadastro do lote",IF(B69&lt;INDEX(Lotes!$E$5:$E$204,MATCH(D69,Lotes!$A$5:$A$204,0)),"Movimento anterior ao recebimento",IF(OR(NOT(ISNUMBER(G69)),G69&lt;=0),"Quantidade ausente ou inválida",""))))))))</x:f>
      </x:c>
      <x:c r="P69" s="163" t="n">
        <x:f>IF(O69="",0,1)</x:f>
        <x:v>0</x:v>
      </x:c>
      <x:c r="Q69" s="163" t="n">
        <x:f>IF(COUNTA(A69:D69,G69,K69:N69)=0,0,IF(OR(Listas!$B$19="Todos",E69=Listas!$B$19,E69="",COUNTIFS(Lotes!$A$5:$A$204,D69)&lt;&gt;1),1,0))</x:f>
        <x:v>0</x:v>
      </x:c>
      <x:c r="R69" s="1"/>
      <x:c r="S69" s="1"/>
      <x:c r="T69" s="1"/>
      <x:c r="U69" s="1"/>
      <x:c r="V69" s="1"/>
      <x:c r="W69" s="1"/>
    </x:row>
    <x:row r="70" ht="32" customHeight="1">
      <x:c r="A70" s="170"/>
      <x:c r="B70" s="179"/>
      <x:c r="C70" s="170"/>
      <x:c r="D70" s="170"/>
      <x:c r="E70" s="40" t="str">
        <x:f>IF($D70="","",IFERROR(INDEX(Lotes!$B$5:$B$204,MATCH($D70,Lotes!$A$5:$A$204,0)),""))</x:f>
      </x:c>
      <x:c r="F70" s="40" t="str">
        <x:f>IF($D70="","",IFERROR(INDEX(Lotes!$C$5:$C$204,MATCH($D70,Lotes!$A$5:$A$204,0)),""))</x:f>
      </x:c>
      <x:c r="G70" s="27"/>
      <x:c r="H70" s="40" t="str">
        <x:f>IF(A70="","",IF(O70&lt;&gt;"","n.a.",IF(OR(C70="Saída",C70="Perda",C70="Ajuste negativo"),-G70,G70)))</x:f>
      </x:c>
      <x:c r="I70" s="181" t="str">
        <x:f>IF($D70="","",IFERROR(INDEX(Lotes!$K$5:$K$204,MATCH($D70,Lotes!$A$5:$A$204,0)),0))</x:f>
      </x:c>
      <x:c r="J70" s="181" t="str">
        <x:f>IF(A70="","",IF(O70&lt;&gt;"","n.a.",ABS(H70)*I70))</x:f>
      </x:c>
      <x:c r="K70" s="27"/>
      <x:c r="L70" s="27"/>
      <x:c r="M70" s="27"/>
      <x:c r="N70" s="27"/>
      <x:c r="O70" s="163" t="str">
        <x:f>IF(COUNTA(A70:D70,G70,K70:N70)=0,"",IF(OR(A70="",COUNTIFS($A$5:$A$304,A70)&lt;&gt;1),"ID ausente ou duplicado",IF(OR(NOT(ISNUMBER(B70)),B70&lt;=0),"Data ausente ou inválida",IF(AND(C70&lt;&gt;"Entrada",C70&lt;&gt;"Saída",C70&lt;&gt;"Perda",C70&lt;&gt;"Ajuste positivo",C70&lt;&gt;"Ajuste negativo"),"Tipo de movimento inválido",IF(OR(D70="",COUNTIFS(Lotes!$A$5:$A$204,D70)&lt;&gt;1),"Lote ausente ou desconhecido",IF(COUNTIFS(Lotes!$A$5:$A$204,D70,Lotes!$S$5:$S$204,"?*")&gt;0,"Revisar cadastro do lote",IF(B70&lt;INDEX(Lotes!$E$5:$E$204,MATCH(D70,Lotes!$A$5:$A$204,0)),"Movimento anterior ao recebimento",IF(OR(NOT(ISNUMBER(G70)),G70&lt;=0),"Quantidade ausente ou inválida",""))))))))</x:f>
      </x:c>
      <x:c r="P70" s="163" t="n">
        <x:f>IF(O70="",0,1)</x:f>
        <x:v>0</x:v>
      </x:c>
      <x:c r="Q70" s="163" t="n">
        <x:f>IF(COUNTA(A70:D70,G70,K70:N70)=0,0,IF(OR(Listas!$B$19="Todos",E70=Listas!$B$19,E70="",COUNTIFS(Lotes!$A$5:$A$204,D70)&lt;&gt;1),1,0))</x:f>
        <x:v>0</x:v>
      </x:c>
      <x:c r="R70" s="1"/>
      <x:c r="S70" s="1"/>
      <x:c r="T70" s="1"/>
      <x:c r="U70" s="1"/>
      <x:c r="V70" s="1"/>
      <x:c r="W70" s="1"/>
    </x:row>
    <x:row r="71" ht="32" customHeight="1">
      <x:c r="A71" s="170"/>
      <x:c r="B71" s="179"/>
      <x:c r="C71" s="170"/>
      <x:c r="D71" s="170"/>
      <x:c r="E71" s="40" t="str">
        <x:f>IF($D71="","",IFERROR(INDEX(Lotes!$B$5:$B$204,MATCH($D71,Lotes!$A$5:$A$204,0)),""))</x:f>
      </x:c>
      <x:c r="F71" s="40" t="str">
        <x:f>IF($D71="","",IFERROR(INDEX(Lotes!$C$5:$C$204,MATCH($D71,Lotes!$A$5:$A$204,0)),""))</x:f>
      </x:c>
      <x:c r="G71" s="27"/>
      <x:c r="H71" s="40" t="str">
        <x:f>IF(A71="","",IF(O71&lt;&gt;"","n.a.",IF(OR(C71="Saída",C71="Perda",C71="Ajuste negativo"),-G71,G71)))</x:f>
      </x:c>
      <x:c r="I71" s="181" t="str">
        <x:f>IF($D71="","",IFERROR(INDEX(Lotes!$K$5:$K$204,MATCH($D71,Lotes!$A$5:$A$204,0)),0))</x:f>
      </x:c>
      <x:c r="J71" s="181" t="str">
        <x:f>IF(A71="","",IF(O71&lt;&gt;"","n.a.",ABS(H71)*I71))</x:f>
      </x:c>
      <x:c r="K71" s="27"/>
      <x:c r="L71" s="27"/>
      <x:c r="M71" s="27"/>
      <x:c r="N71" s="27"/>
      <x:c r="O71" s="163" t="str">
        <x:f>IF(COUNTA(A71:D71,G71,K71:N71)=0,"",IF(OR(A71="",COUNTIFS($A$5:$A$304,A71)&lt;&gt;1),"ID ausente ou duplicado",IF(OR(NOT(ISNUMBER(B71)),B71&lt;=0),"Data ausente ou inválida",IF(AND(C71&lt;&gt;"Entrada",C71&lt;&gt;"Saída",C71&lt;&gt;"Perda",C71&lt;&gt;"Ajuste positivo",C71&lt;&gt;"Ajuste negativo"),"Tipo de movimento inválido",IF(OR(D71="",COUNTIFS(Lotes!$A$5:$A$204,D71)&lt;&gt;1),"Lote ausente ou desconhecido",IF(COUNTIFS(Lotes!$A$5:$A$204,D71,Lotes!$S$5:$S$204,"?*")&gt;0,"Revisar cadastro do lote",IF(B71&lt;INDEX(Lotes!$E$5:$E$204,MATCH(D71,Lotes!$A$5:$A$204,0)),"Movimento anterior ao recebimento",IF(OR(NOT(ISNUMBER(G71)),G71&lt;=0),"Quantidade ausente ou inválida",""))))))))</x:f>
      </x:c>
      <x:c r="P71" s="163" t="n">
        <x:f>IF(O71="",0,1)</x:f>
        <x:v>0</x:v>
      </x:c>
      <x:c r="Q71" s="163" t="n">
        <x:f>IF(COUNTA(A71:D71,G71,K71:N71)=0,0,IF(OR(Listas!$B$19="Todos",E71=Listas!$B$19,E71="",COUNTIFS(Lotes!$A$5:$A$204,D71)&lt;&gt;1),1,0))</x:f>
        <x:v>0</x:v>
      </x:c>
      <x:c r="R71" s="1"/>
      <x:c r="S71" s="1"/>
      <x:c r="T71" s="1"/>
      <x:c r="U71" s="1"/>
      <x:c r="V71" s="1"/>
      <x:c r="W71" s="1"/>
    </x:row>
    <x:row r="72" ht="32" customHeight="1">
      <x:c r="A72" s="170"/>
      <x:c r="B72" s="179"/>
      <x:c r="C72" s="170"/>
      <x:c r="D72" s="170"/>
      <x:c r="E72" s="40" t="str">
        <x:f>IF($D72="","",IFERROR(INDEX(Lotes!$B$5:$B$204,MATCH($D72,Lotes!$A$5:$A$204,0)),""))</x:f>
      </x:c>
      <x:c r="F72" s="40" t="str">
        <x:f>IF($D72="","",IFERROR(INDEX(Lotes!$C$5:$C$204,MATCH($D72,Lotes!$A$5:$A$204,0)),""))</x:f>
      </x:c>
      <x:c r="G72" s="27"/>
      <x:c r="H72" s="40" t="str">
        <x:f>IF(A72="","",IF(O72&lt;&gt;"","n.a.",IF(OR(C72="Saída",C72="Perda",C72="Ajuste negativo"),-G72,G72)))</x:f>
      </x:c>
      <x:c r="I72" s="181" t="str">
        <x:f>IF($D72="","",IFERROR(INDEX(Lotes!$K$5:$K$204,MATCH($D72,Lotes!$A$5:$A$204,0)),0))</x:f>
      </x:c>
      <x:c r="J72" s="181" t="str">
        <x:f>IF(A72="","",IF(O72&lt;&gt;"","n.a.",ABS(H72)*I72))</x:f>
      </x:c>
      <x:c r="K72" s="27"/>
      <x:c r="L72" s="27"/>
      <x:c r="M72" s="27"/>
      <x:c r="N72" s="27"/>
      <x:c r="O72" s="163" t="str">
        <x:f>IF(COUNTA(A72:D72,G72,K72:N72)=0,"",IF(OR(A72="",COUNTIFS($A$5:$A$304,A72)&lt;&gt;1),"ID ausente ou duplicado",IF(OR(NOT(ISNUMBER(B72)),B72&lt;=0),"Data ausente ou inválida",IF(AND(C72&lt;&gt;"Entrada",C72&lt;&gt;"Saída",C72&lt;&gt;"Perda",C72&lt;&gt;"Ajuste positivo",C72&lt;&gt;"Ajuste negativo"),"Tipo de movimento inválido",IF(OR(D72="",COUNTIFS(Lotes!$A$5:$A$204,D72)&lt;&gt;1),"Lote ausente ou desconhecido",IF(COUNTIFS(Lotes!$A$5:$A$204,D72,Lotes!$S$5:$S$204,"?*")&gt;0,"Revisar cadastro do lote",IF(B72&lt;INDEX(Lotes!$E$5:$E$204,MATCH(D72,Lotes!$A$5:$A$204,0)),"Movimento anterior ao recebimento",IF(OR(NOT(ISNUMBER(G72)),G72&lt;=0),"Quantidade ausente ou inválida",""))))))))</x:f>
      </x:c>
      <x:c r="P72" s="163" t="n">
        <x:f>IF(O72="",0,1)</x:f>
        <x:v>0</x:v>
      </x:c>
      <x:c r="Q72" s="163" t="n">
        <x:f>IF(COUNTA(A72:D72,G72,K72:N72)=0,0,IF(OR(Listas!$B$19="Todos",E72=Listas!$B$19,E72="",COUNTIFS(Lotes!$A$5:$A$204,D72)&lt;&gt;1),1,0))</x:f>
        <x:v>0</x:v>
      </x:c>
      <x:c r="R72" s="1"/>
      <x:c r="S72" s="1"/>
      <x:c r="T72" s="1"/>
      <x:c r="U72" s="1"/>
      <x:c r="V72" s="1"/>
      <x:c r="W72" s="1"/>
    </x:row>
    <x:row r="73" ht="32" customHeight="1">
      <x:c r="A73" s="170"/>
      <x:c r="B73" s="179"/>
      <x:c r="C73" s="170"/>
      <x:c r="D73" s="170"/>
      <x:c r="E73" s="40" t="str">
        <x:f>IF($D73="","",IFERROR(INDEX(Lotes!$B$5:$B$204,MATCH($D73,Lotes!$A$5:$A$204,0)),""))</x:f>
      </x:c>
      <x:c r="F73" s="40" t="str">
        <x:f>IF($D73="","",IFERROR(INDEX(Lotes!$C$5:$C$204,MATCH($D73,Lotes!$A$5:$A$204,0)),""))</x:f>
      </x:c>
      <x:c r="G73" s="27"/>
      <x:c r="H73" s="40" t="str">
        <x:f>IF(A73="","",IF(O73&lt;&gt;"","n.a.",IF(OR(C73="Saída",C73="Perda",C73="Ajuste negativo"),-G73,G73)))</x:f>
      </x:c>
      <x:c r="I73" s="181" t="str">
        <x:f>IF($D73="","",IFERROR(INDEX(Lotes!$K$5:$K$204,MATCH($D73,Lotes!$A$5:$A$204,0)),0))</x:f>
      </x:c>
      <x:c r="J73" s="181" t="str">
        <x:f>IF(A73="","",IF(O73&lt;&gt;"","n.a.",ABS(H73)*I73))</x:f>
      </x:c>
      <x:c r="K73" s="27"/>
      <x:c r="L73" s="27"/>
      <x:c r="M73" s="27"/>
      <x:c r="N73" s="27"/>
      <x:c r="O73" s="163" t="str">
        <x:f>IF(COUNTA(A73:D73,G73,K73:N73)=0,"",IF(OR(A73="",COUNTIFS($A$5:$A$304,A73)&lt;&gt;1),"ID ausente ou duplicado",IF(OR(NOT(ISNUMBER(B73)),B73&lt;=0),"Data ausente ou inválida",IF(AND(C73&lt;&gt;"Entrada",C73&lt;&gt;"Saída",C73&lt;&gt;"Perda",C73&lt;&gt;"Ajuste positivo",C73&lt;&gt;"Ajuste negativo"),"Tipo de movimento inválido",IF(OR(D73="",COUNTIFS(Lotes!$A$5:$A$204,D73)&lt;&gt;1),"Lote ausente ou desconhecido",IF(COUNTIFS(Lotes!$A$5:$A$204,D73,Lotes!$S$5:$S$204,"?*")&gt;0,"Revisar cadastro do lote",IF(B73&lt;INDEX(Lotes!$E$5:$E$204,MATCH(D73,Lotes!$A$5:$A$204,0)),"Movimento anterior ao recebimento",IF(OR(NOT(ISNUMBER(G73)),G73&lt;=0),"Quantidade ausente ou inválida",""))))))))</x:f>
      </x:c>
      <x:c r="P73" s="163" t="n">
        <x:f>IF(O73="",0,1)</x:f>
        <x:v>0</x:v>
      </x:c>
      <x:c r="Q73" s="163" t="n">
        <x:f>IF(COUNTA(A73:D73,G73,K73:N73)=0,0,IF(OR(Listas!$B$19="Todos",E73=Listas!$B$19,E73="",COUNTIFS(Lotes!$A$5:$A$204,D73)&lt;&gt;1),1,0))</x:f>
        <x:v>0</x:v>
      </x:c>
      <x:c r="R73" s="1"/>
      <x:c r="S73" s="1"/>
      <x:c r="T73" s="1"/>
      <x:c r="U73" s="1"/>
      <x:c r="V73" s="1"/>
      <x:c r="W73" s="1"/>
    </x:row>
    <x:row r="74" ht="32" customHeight="1">
      <x:c r="A74" s="170"/>
      <x:c r="B74" s="179"/>
      <x:c r="C74" s="170"/>
      <x:c r="D74" s="170"/>
      <x:c r="E74" s="40" t="str">
        <x:f>IF($D74="","",IFERROR(INDEX(Lotes!$B$5:$B$204,MATCH($D74,Lotes!$A$5:$A$204,0)),""))</x:f>
      </x:c>
      <x:c r="F74" s="40" t="str">
        <x:f>IF($D74="","",IFERROR(INDEX(Lotes!$C$5:$C$204,MATCH($D74,Lotes!$A$5:$A$204,0)),""))</x:f>
      </x:c>
      <x:c r="G74" s="27"/>
      <x:c r="H74" s="40" t="str">
        <x:f>IF(A74="","",IF(O74&lt;&gt;"","n.a.",IF(OR(C74="Saída",C74="Perda",C74="Ajuste negativo"),-G74,G74)))</x:f>
      </x:c>
      <x:c r="I74" s="181" t="str">
        <x:f>IF($D74="","",IFERROR(INDEX(Lotes!$K$5:$K$204,MATCH($D74,Lotes!$A$5:$A$204,0)),0))</x:f>
      </x:c>
      <x:c r="J74" s="181" t="str">
        <x:f>IF(A74="","",IF(O74&lt;&gt;"","n.a.",ABS(H74)*I74))</x:f>
      </x:c>
      <x:c r="K74" s="27"/>
      <x:c r="L74" s="27"/>
      <x:c r="M74" s="27"/>
      <x:c r="N74" s="27"/>
      <x:c r="O74" s="163" t="str">
        <x:f>IF(COUNTA(A74:D74,G74,K74:N74)=0,"",IF(OR(A74="",COUNTIFS($A$5:$A$304,A74)&lt;&gt;1),"ID ausente ou duplicado",IF(OR(NOT(ISNUMBER(B74)),B74&lt;=0),"Data ausente ou inválida",IF(AND(C74&lt;&gt;"Entrada",C74&lt;&gt;"Saída",C74&lt;&gt;"Perda",C74&lt;&gt;"Ajuste positivo",C74&lt;&gt;"Ajuste negativo"),"Tipo de movimento inválido",IF(OR(D74="",COUNTIFS(Lotes!$A$5:$A$204,D74)&lt;&gt;1),"Lote ausente ou desconhecido",IF(COUNTIFS(Lotes!$A$5:$A$204,D74,Lotes!$S$5:$S$204,"?*")&gt;0,"Revisar cadastro do lote",IF(B74&lt;INDEX(Lotes!$E$5:$E$204,MATCH(D74,Lotes!$A$5:$A$204,0)),"Movimento anterior ao recebimento",IF(OR(NOT(ISNUMBER(G74)),G74&lt;=0),"Quantidade ausente ou inválida",""))))))))</x:f>
      </x:c>
      <x:c r="P74" s="163" t="n">
        <x:f>IF(O74="",0,1)</x:f>
        <x:v>0</x:v>
      </x:c>
      <x:c r="Q74" s="163" t="n">
        <x:f>IF(COUNTA(A74:D74,G74,K74:N74)=0,0,IF(OR(Listas!$B$19="Todos",E74=Listas!$B$19,E74="",COUNTIFS(Lotes!$A$5:$A$204,D74)&lt;&gt;1),1,0))</x:f>
        <x:v>0</x:v>
      </x:c>
      <x:c r="R74" s="1"/>
      <x:c r="S74" s="1"/>
      <x:c r="T74" s="1"/>
      <x:c r="U74" s="1"/>
      <x:c r="V74" s="1"/>
      <x:c r="W74" s="1"/>
    </x:row>
    <x:row r="75" ht="32" customHeight="1">
      <x:c r="A75" s="170"/>
      <x:c r="B75" s="179"/>
      <x:c r="C75" s="170"/>
      <x:c r="D75" s="170"/>
      <x:c r="E75" s="40" t="str">
        <x:f>IF($D75="","",IFERROR(INDEX(Lotes!$B$5:$B$204,MATCH($D75,Lotes!$A$5:$A$204,0)),""))</x:f>
      </x:c>
      <x:c r="F75" s="40" t="str">
        <x:f>IF($D75="","",IFERROR(INDEX(Lotes!$C$5:$C$204,MATCH($D75,Lotes!$A$5:$A$204,0)),""))</x:f>
      </x:c>
      <x:c r="G75" s="27"/>
      <x:c r="H75" s="40" t="str">
        <x:f>IF(A75="","",IF(O75&lt;&gt;"","n.a.",IF(OR(C75="Saída",C75="Perda",C75="Ajuste negativo"),-G75,G75)))</x:f>
      </x:c>
      <x:c r="I75" s="181" t="str">
        <x:f>IF($D75="","",IFERROR(INDEX(Lotes!$K$5:$K$204,MATCH($D75,Lotes!$A$5:$A$204,0)),0))</x:f>
      </x:c>
      <x:c r="J75" s="181" t="str">
        <x:f>IF(A75="","",IF(O75&lt;&gt;"","n.a.",ABS(H75)*I75))</x:f>
      </x:c>
      <x:c r="K75" s="27"/>
      <x:c r="L75" s="27"/>
      <x:c r="M75" s="27"/>
      <x:c r="N75" s="27"/>
      <x:c r="O75" s="163" t="str">
        <x:f>IF(COUNTA(A75:D75,G75,K75:N75)=0,"",IF(OR(A75="",COUNTIFS($A$5:$A$304,A75)&lt;&gt;1),"ID ausente ou duplicado",IF(OR(NOT(ISNUMBER(B75)),B75&lt;=0),"Data ausente ou inválida",IF(AND(C75&lt;&gt;"Entrada",C75&lt;&gt;"Saída",C75&lt;&gt;"Perda",C75&lt;&gt;"Ajuste positivo",C75&lt;&gt;"Ajuste negativo"),"Tipo de movimento inválido",IF(OR(D75="",COUNTIFS(Lotes!$A$5:$A$204,D75)&lt;&gt;1),"Lote ausente ou desconhecido",IF(COUNTIFS(Lotes!$A$5:$A$204,D75,Lotes!$S$5:$S$204,"?*")&gt;0,"Revisar cadastro do lote",IF(B75&lt;INDEX(Lotes!$E$5:$E$204,MATCH(D75,Lotes!$A$5:$A$204,0)),"Movimento anterior ao recebimento",IF(OR(NOT(ISNUMBER(G75)),G75&lt;=0),"Quantidade ausente ou inválida",""))))))))</x:f>
      </x:c>
      <x:c r="P75" s="163" t="n">
        <x:f>IF(O75="",0,1)</x:f>
        <x:v>0</x:v>
      </x:c>
      <x:c r="Q75" s="163" t="n">
        <x:f>IF(COUNTA(A75:D75,G75,K75:N75)=0,0,IF(OR(Listas!$B$19="Todos",E75=Listas!$B$19,E75="",COUNTIFS(Lotes!$A$5:$A$204,D75)&lt;&gt;1),1,0))</x:f>
        <x:v>0</x:v>
      </x:c>
      <x:c r="R75" s="1"/>
      <x:c r="S75" s="1"/>
      <x:c r="T75" s="1"/>
      <x:c r="U75" s="1"/>
      <x:c r="V75" s="1"/>
      <x:c r="W75" s="1"/>
    </x:row>
    <x:row r="76" ht="32" customHeight="1">
      <x:c r="A76" s="170"/>
      <x:c r="B76" s="179"/>
      <x:c r="C76" s="170"/>
      <x:c r="D76" s="170"/>
      <x:c r="E76" s="40" t="str">
        <x:f>IF($D76="","",IFERROR(INDEX(Lotes!$B$5:$B$204,MATCH($D76,Lotes!$A$5:$A$204,0)),""))</x:f>
      </x:c>
      <x:c r="F76" s="40" t="str">
        <x:f>IF($D76="","",IFERROR(INDEX(Lotes!$C$5:$C$204,MATCH($D76,Lotes!$A$5:$A$204,0)),""))</x:f>
      </x:c>
      <x:c r="G76" s="27"/>
      <x:c r="H76" s="40" t="str">
        <x:f>IF(A76="","",IF(O76&lt;&gt;"","n.a.",IF(OR(C76="Saída",C76="Perda",C76="Ajuste negativo"),-G76,G76)))</x:f>
      </x:c>
      <x:c r="I76" s="181" t="str">
        <x:f>IF($D76="","",IFERROR(INDEX(Lotes!$K$5:$K$204,MATCH($D76,Lotes!$A$5:$A$204,0)),0))</x:f>
      </x:c>
      <x:c r="J76" s="181" t="str">
        <x:f>IF(A76="","",IF(O76&lt;&gt;"","n.a.",ABS(H76)*I76))</x:f>
      </x:c>
      <x:c r="K76" s="27"/>
      <x:c r="L76" s="27"/>
      <x:c r="M76" s="27"/>
      <x:c r="N76" s="27"/>
      <x:c r="O76" s="163" t="str">
        <x:f>IF(COUNTA(A76:D76,G76,K76:N76)=0,"",IF(OR(A76="",COUNTIFS($A$5:$A$304,A76)&lt;&gt;1),"ID ausente ou duplicado",IF(OR(NOT(ISNUMBER(B76)),B76&lt;=0),"Data ausente ou inválida",IF(AND(C76&lt;&gt;"Entrada",C76&lt;&gt;"Saída",C76&lt;&gt;"Perda",C76&lt;&gt;"Ajuste positivo",C76&lt;&gt;"Ajuste negativo"),"Tipo de movimento inválido",IF(OR(D76="",COUNTIFS(Lotes!$A$5:$A$204,D76)&lt;&gt;1),"Lote ausente ou desconhecido",IF(COUNTIFS(Lotes!$A$5:$A$204,D76,Lotes!$S$5:$S$204,"?*")&gt;0,"Revisar cadastro do lote",IF(B76&lt;INDEX(Lotes!$E$5:$E$204,MATCH(D76,Lotes!$A$5:$A$204,0)),"Movimento anterior ao recebimento",IF(OR(NOT(ISNUMBER(G76)),G76&lt;=0),"Quantidade ausente ou inválida",""))))))))</x:f>
      </x:c>
      <x:c r="P76" s="163" t="n">
        <x:f>IF(O76="",0,1)</x:f>
        <x:v>0</x:v>
      </x:c>
      <x:c r="Q76" s="163" t="n">
        <x:f>IF(COUNTA(A76:D76,G76,K76:N76)=0,0,IF(OR(Listas!$B$19="Todos",E76=Listas!$B$19,E76="",COUNTIFS(Lotes!$A$5:$A$204,D76)&lt;&gt;1),1,0))</x:f>
        <x:v>0</x:v>
      </x:c>
      <x:c r="R76" s="1"/>
      <x:c r="S76" s="1"/>
      <x:c r="T76" s="1"/>
      <x:c r="U76" s="1"/>
      <x:c r="V76" s="1"/>
      <x:c r="W76" s="1"/>
    </x:row>
    <x:row r="77" ht="32" customHeight="1">
      <x:c r="A77" s="170"/>
      <x:c r="B77" s="179"/>
      <x:c r="C77" s="170"/>
      <x:c r="D77" s="170"/>
      <x:c r="E77" s="40" t="str">
        <x:f>IF($D77="","",IFERROR(INDEX(Lotes!$B$5:$B$204,MATCH($D77,Lotes!$A$5:$A$204,0)),""))</x:f>
      </x:c>
      <x:c r="F77" s="40" t="str">
        <x:f>IF($D77="","",IFERROR(INDEX(Lotes!$C$5:$C$204,MATCH($D77,Lotes!$A$5:$A$204,0)),""))</x:f>
      </x:c>
      <x:c r="G77" s="27"/>
      <x:c r="H77" s="40" t="str">
        <x:f>IF(A77="","",IF(O77&lt;&gt;"","n.a.",IF(OR(C77="Saída",C77="Perda",C77="Ajuste negativo"),-G77,G77)))</x:f>
      </x:c>
      <x:c r="I77" s="181" t="str">
        <x:f>IF($D77="","",IFERROR(INDEX(Lotes!$K$5:$K$204,MATCH($D77,Lotes!$A$5:$A$204,0)),0))</x:f>
      </x:c>
      <x:c r="J77" s="181" t="str">
        <x:f>IF(A77="","",IF(O77&lt;&gt;"","n.a.",ABS(H77)*I77))</x:f>
      </x:c>
      <x:c r="K77" s="27"/>
      <x:c r="L77" s="27"/>
      <x:c r="M77" s="27"/>
      <x:c r="N77" s="27"/>
      <x:c r="O77" s="163" t="str">
        <x:f>IF(COUNTA(A77:D77,G77,K77:N77)=0,"",IF(OR(A77="",COUNTIFS($A$5:$A$304,A77)&lt;&gt;1),"ID ausente ou duplicado",IF(OR(NOT(ISNUMBER(B77)),B77&lt;=0),"Data ausente ou inválida",IF(AND(C77&lt;&gt;"Entrada",C77&lt;&gt;"Saída",C77&lt;&gt;"Perda",C77&lt;&gt;"Ajuste positivo",C77&lt;&gt;"Ajuste negativo"),"Tipo de movimento inválido",IF(OR(D77="",COUNTIFS(Lotes!$A$5:$A$204,D77)&lt;&gt;1),"Lote ausente ou desconhecido",IF(COUNTIFS(Lotes!$A$5:$A$204,D77,Lotes!$S$5:$S$204,"?*")&gt;0,"Revisar cadastro do lote",IF(B77&lt;INDEX(Lotes!$E$5:$E$204,MATCH(D77,Lotes!$A$5:$A$204,0)),"Movimento anterior ao recebimento",IF(OR(NOT(ISNUMBER(G77)),G77&lt;=0),"Quantidade ausente ou inválida",""))))))))</x:f>
      </x:c>
      <x:c r="P77" s="163" t="n">
        <x:f>IF(O77="",0,1)</x:f>
        <x:v>0</x:v>
      </x:c>
      <x:c r="Q77" s="163" t="n">
        <x:f>IF(COUNTA(A77:D77,G77,K77:N77)=0,0,IF(OR(Listas!$B$19="Todos",E77=Listas!$B$19,E77="",COUNTIFS(Lotes!$A$5:$A$204,D77)&lt;&gt;1),1,0))</x:f>
        <x:v>0</x:v>
      </x:c>
      <x:c r="R77" s="1"/>
      <x:c r="S77" s="1"/>
      <x:c r="T77" s="1"/>
      <x:c r="U77" s="1"/>
      <x:c r="V77" s="1"/>
      <x:c r="W77" s="1"/>
    </x:row>
    <x:row r="78" ht="32" customHeight="1">
      <x:c r="A78" s="170"/>
      <x:c r="B78" s="179"/>
      <x:c r="C78" s="170"/>
      <x:c r="D78" s="170"/>
      <x:c r="E78" s="40" t="str">
        <x:f>IF($D78="","",IFERROR(INDEX(Lotes!$B$5:$B$204,MATCH($D78,Lotes!$A$5:$A$204,0)),""))</x:f>
      </x:c>
      <x:c r="F78" s="40" t="str">
        <x:f>IF($D78="","",IFERROR(INDEX(Lotes!$C$5:$C$204,MATCH($D78,Lotes!$A$5:$A$204,0)),""))</x:f>
      </x:c>
      <x:c r="G78" s="27"/>
      <x:c r="H78" s="40" t="str">
        <x:f>IF(A78="","",IF(O78&lt;&gt;"","n.a.",IF(OR(C78="Saída",C78="Perda",C78="Ajuste negativo"),-G78,G78)))</x:f>
      </x:c>
      <x:c r="I78" s="181" t="str">
        <x:f>IF($D78="","",IFERROR(INDEX(Lotes!$K$5:$K$204,MATCH($D78,Lotes!$A$5:$A$204,0)),0))</x:f>
      </x:c>
      <x:c r="J78" s="181" t="str">
        <x:f>IF(A78="","",IF(O78&lt;&gt;"","n.a.",ABS(H78)*I78))</x:f>
      </x:c>
      <x:c r="K78" s="27"/>
      <x:c r="L78" s="27"/>
      <x:c r="M78" s="27"/>
      <x:c r="N78" s="27"/>
      <x:c r="O78" s="163" t="str">
        <x:f>IF(COUNTA(A78:D78,G78,K78:N78)=0,"",IF(OR(A78="",COUNTIFS($A$5:$A$304,A78)&lt;&gt;1),"ID ausente ou duplicado",IF(OR(NOT(ISNUMBER(B78)),B78&lt;=0),"Data ausente ou inválida",IF(AND(C78&lt;&gt;"Entrada",C78&lt;&gt;"Saída",C78&lt;&gt;"Perda",C78&lt;&gt;"Ajuste positivo",C78&lt;&gt;"Ajuste negativo"),"Tipo de movimento inválido",IF(OR(D78="",COUNTIFS(Lotes!$A$5:$A$204,D78)&lt;&gt;1),"Lote ausente ou desconhecido",IF(COUNTIFS(Lotes!$A$5:$A$204,D78,Lotes!$S$5:$S$204,"?*")&gt;0,"Revisar cadastro do lote",IF(B78&lt;INDEX(Lotes!$E$5:$E$204,MATCH(D78,Lotes!$A$5:$A$204,0)),"Movimento anterior ao recebimento",IF(OR(NOT(ISNUMBER(G78)),G78&lt;=0),"Quantidade ausente ou inválida",""))))))))</x:f>
      </x:c>
      <x:c r="P78" s="163" t="n">
        <x:f>IF(O78="",0,1)</x:f>
        <x:v>0</x:v>
      </x:c>
      <x:c r="Q78" s="163" t="n">
        <x:f>IF(COUNTA(A78:D78,G78,K78:N78)=0,0,IF(OR(Listas!$B$19="Todos",E78=Listas!$B$19,E78="",COUNTIFS(Lotes!$A$5:$A$204,D78)&lt;&gt;1),1,0))</x:f>
        <x:v>0</x:v>
      </x:c>
      <x:c r="R78" s="1"/>
      <x:c r="S78" s="1"/>
      <x:c r="T78" s="1"/>
      <x:c r="U78" s="1"/>
      <x:c r="V78" s="1"/>
      <x:c r="W78" s="1"/>
    </x:row>
    <x:row r="79" ht="32" customHeight="1">
      <x:c r="A79" s="170"/>
      <x:c r="B79" s="179"/>
      <x:c r="C79" s="170"/>
      <x:c r="D79" s="170"/>
      <x:c r="E79" s="40" t="str">
        <x:f>IF($D79="","",IFERROR(INDEX(Lotes!$B$5:$B$204,MATCH($D79,Lotes!$A$5:$A$204,0)),""))</x:f>
      </x:c>
      <x:c r="F79" s="40" t="str">
        <x:f>IF($D79="","",IFERROR(INDEX(Lotes!$C$5:$C$204,MATCH($D79,Lotes!$A$5:$A$204,0)),""))</x:f>
      </x:c>
      <x:c r="G79" s="27"/>
      <x:c r="H79" s="40" t="str">
        <x:f>IF(A79="","",IF(O79&lt;&gt;"","n.a.",IF(OR(C79="Saída",C79="Perda",C79="Ajuste negativo"),-G79,G79)))</x:f>
      </x:c>
      <x:c r="I79" s="181" t="str">
        <x:f>IF($D79="","",IFERROR(INDEX(Lotes!$K$5:$K$204,MATCH($D79,Lotes!$A$5:$A$204,0)),0))</x:f>
      </x:c>
      <x:c r="J79" s="181" t="str">
        <x:f>IF(A79="","",IF(O79&lt;&gt;"","n.a.",ABS(H79)*I79))</x:f>
      </x:c>
      <x:c r="K79" s="27"/>
      <x:c r="L79" s="27"/>
      <x:c r="M79" s="27"/>
      <x:c r="N79" s="27"/>
      <x:c r="O79" s="163" t="str">
        <x:f>IF(COUNTA(A79:D79,G79,K79:N79)=0,"",IF(OR(A79="",COUNTIFS($A$5:$A$304,A79)&lt;&gt;1),"ID ausente ou duplicado",IF(OR(NOT(ISNUMBER(B79)),B79&lt;=0),"Data ausente ou inválida",IF(AND(C79&lt;&gt;"Entrada",C79&lt;&gt;"Saída",C79&lt;&gt;"Perda",C79&lt;&gt;"Ajuste positivo",C79&lt;&gt;"Ajuste negativo"),"Tipo de movimento inválido",IF(OR(D79="",COUNTIFS(Lotes!$A$5:$A$204,D79)&lt;&gt;1),"Lote ausente ou desconhecido",IF(COUNTIFS(Lotes!$A$5:$A$204,D79,Lotes!$S$5:$S$204,"?*")&gt;0,"Revisar cadastro do lote",IF(B79&lt;INDEX(Lotes!$E$5:$E$204,MATCH(D79,Lotes!$A$5:$A$204,0)),"Movimento anterior ao recebimento",IF(OR(NOT(ISNUMBER(G79)),G79&lt;=0),"Quantidade ausente ou inválida",""))))))))</x:f>
      </x:c>
      <x:c r="P79" s="163" t="n">
        <x:f>IF(O79="",0,1)</x:f>
        <x:v>0</x:v>
      </x:c>
      <x:c r="Q79" s="163" t="n">
        <x:f>IF(COUNTA(A79:D79,G79,K79:N79)=0,0,IF(OR(Listas!$B$19="Todos",E79=Listas!$B$19,E79="",COUNTIFS(Lotes!$A$5:$A$204,D79)&lt;&gt;1),1,0))</x:f>
        <x:v>0</x:v>
      </x:c>
      <x:c r="R79" s="1"/>
      <x:c r="S79" s="1"/>
      <x:c r="T79" s="1"/>
      <x:c r="U79" s="1"/>
      <x:c r="V79" s="1"/>
      <x:c r="W79" s="1"/>
    </x:row>
    <x:row r="80" ht="32" customHeight="1">
      <x:c r="A80" s="170"/>
      <x:c r="B80" s="179"/>
      <x:c r="C80" s="170"/>
      <x:c r="D80" s="170"/>
      <x:c r="E80" s="40" t="str">
        <x:f>IF($D80="","",IFERROR(INDEX(Lotes!$B$5:$B$204,MATCH($D80,Lotes!$A$5:$A$204,0)),""))</x:f>
      </x:c>
      <x:c r="F80" s="40" t="str">
        <x:f>IF($D80="","",IFERROR(INDEX(Lotes!$C$5:$C$204,MATCH($D80,Lotes!$A$5:$A$204,0)),""))</x:f>
      </x:c>
      <x:c r="G80" s="27"/>
      <x:c r="H80" s="40" t="str">
        <x:f>IF(A80="","",IF(O80&lt;&gt;"","n.a.",IF(OR(C80="Saída",C80="Perda",C80="Ajuste negativo"),-G80,G80)))</x:f>
      </x:c>
      <x:c r="I80" s="181" t="str">
        <x:f>IF($D80="","",IFERROR(INDEX(Lotes!$K$5:$K$204,MATCH($D80,Lotes!$A$5:$A$204,0)),0))</x:f>
      </x:c>
      <x:c r="J80" s="181" t="str">
        <x:f>IF(A80="","",IF(O80&lt;&gt;"","n.a.",ABS(H80)*I80))</x:f>
      </x:c>
      <x:c r="K80" s="27"/>
      <x:c r="L80" s="27"/>
      <x:c r="M80" s="27"/>
      <x:c r="N80" s="27"/>
      <x:c r="O80" s="163" t="str">
        <x:f>IF(COUNTA(A80:D80,G80,K80:N80)=0,"",IF(OR(A80="",COUNTIFS($A$5:$A$304,A80)&lt;&gt;1),"ID ausente ou duplicado",IF(OR(NOT(ISNUMBER(B80)),B80&lt;=0),"Data ausente ou inválida",IF(AND(C80&lt;&gt;"Entrada",C80&lt;&gt;"Saída",C80&lt;&gt;"Perda",C80&lt;&gt;"Ajuste positivo",C80&lt;&gt;"Ajuste negativo"),"Tipo de movimento inválido",IF(OR(D80="",COUNTIFS(Lotes!$A$5:$A$204,D80)&lt;&gt;1),"Lote ausente ou desconhecido",IF(COUNTIFS(Lotes!$A$5:$A$204,D80,Lotes!$S$5:$S$204,"?*")&gt;0,"Revisar cadastro do lote",IF(B80&lt;INDEX(Lotes!$E$5:$E$204,MATCH(D80,Lotes!$A$5:$A$204,0)),"Movimento anterior ao recebimento",IF(OR(NOT(ISNUMBER(G80)),G80&lt;=0),"Quantidade ausente ou inválida",""))))))))</x:f>
      </x:c>
      <x:c r="P80" s="163" t="n">
        <x:f>IF(O80="",0,1)</x:f>
        <x:v>0</x:v>
      </x:c>
      <x:c r="Q80" s="163" t="n">
        <x:f>IF(COUNTA(A80:D80,G80,K80:N80)=0,0,IF(OR(Listas!$B$19="Todos",E80=Listas!$B$19,E80="",COUNTIFS(Lotes!$A$5:$A$204,D80)&lt;&gt;1),1,0))</x:f>
        <x:v>0</x:v>
      </x:c>
      <x:c r="R80" s="1"/>
      <x:c r="S80" s="1"/>
      <x:c r="T80" s="1"/>
      <x:c r="U80" s="1"/>
      <x:c r="V80" s="1"/>
      <x:c r="W80" s="1"/>
    </x:row>
    <x:row r="81" ht="32" customHeight="1">
      <x:c r="A81" s="170"/>
      <x:c r="B81" s="179"/>
      <x:c r="C81" s="170"/>
      <x:c r="D81" s="170"/>
      <x:c r="E81" s="40" t="str">
        <x:f>IF($D81="","",IFERROR(INDEX(Lotes!$B$5:$B$204,MATCH($D81,Lotes!$A$5:$A$204,0)),""))</x:f>
      </x:c>
      <x:c r="F81" s="40" t="str">
        <x:f>IF($D81="","",IFERROR(INDEX(Lotes!$C$5:$C$204,MATCH($D81,Lotes!$A$5:$A$204,0)),""))</x:f>
      </x:c>
      <x:c r="G81" s="27"/>
      <x:c r="H81" s="40" t="str">
        <x:f>IF(A81="","",IF(O81&lt;&gt;"","n.a.",IF(OR(C81="Saída",C81="Perda",C81="Ajuste negativo"),-G81,G81)))</x:f>
      </x:c>
      <x:c r="I81" s="181" t="str">
        <x:f>IF($D81="","",IFERROR(INDEX(Lotes!$K$5:$K$204,MATCH($D81,Lotes!$A$5:$A$204,0)),0))</x:f>
      </x:c>
      <x:c r="J81" s="181" t="str">
        <x:f>IF(A81="","",IF(O81&lt;&gt;"","n.a.",ABS(H81)*I81))</x:f>
      </x:c>
      <x:c r="K81" s="27"/>
      <x:c r="L81" s="27"/>
      <x:c r="M81" s="27"/>
      <x:c r="N81" s="27"/>
      <x:c r="O81" s="163" t="str">
        <x:f>IF(COUNTA(A81:D81,G81,K81:N81)=0,"",IF(OR(A81="",COUNTIFS($A$5:$A$304,A81)&lt;&gt;1),"ID ausente ou duplicado",IF(OR(NOT(ISNUMBER(B81)),B81&lt;=0),"Data ausente ou inválida",IF(AND(C81&lt;&gt;"Entrada",C81&lt;&gt;"Saída",C81&lt;&gt;"Perda",C81&lt;&gt;"Ajuste positivo",C81&lt;&gt;"Ajuste negativo"),"Tipo de movimento inválido",IF(OR(D81="",COUNTIFS(Lotes!$A$5:$A$204,D81)&lt;&gt;1),"Lote ausente ou desconhecido",IF(COUNTIFS(Lotes!$A$5:$A$204,D81,Lotes!$S$5:$S$204,"?*")&gt;0,"Revisar cadastro do lote",IF(B81&lt;INDEX(Lotes!$E$5:$E$204,MATCH(D81,Lotes!$A$5:$A$204,0)),"Movimento anterior ao recebimento",IF(OR(NOT(ISNUMBER(G81)),G81&lt;=0),"Quantidade ausente ou inválida",""))))))))</x:f>
      </x:c>
      <x:c r="P81" s="163" t="n">
        <x:f>IF(O81="",0,1)</x:f>
        <x:v>0</x:v>
      </x:c>
      <x:c r="Q81" s="163" t="n">
        <x:f>IF(COUNTA(A81:D81,G81,K81:N81)=0,0,IF(OR(Listas!$B$19="Todos",E81=Listas!$B$19,E81="",COUNTIFS(Lotes!$A$5:$A$204,D81)&lt;&gt;1),1,0))</x:f>
        <x:v>0</x:v>
      </x:c>
      <x:c r="R81" s="1"/>
      <x:c r="S81" s="1"/>
      <x:c r="T81" s="1"/>
      <x:c r="U81" s="1"/>
      <x:c r="V81" s="1"/>
      <x:c r="W81" s="1"/>
    </x:row>
    <x:row r="82" ht="32" customHeight="1">
      <x:c r="A82" s="170"/>
      <x:c r="B82" s="179"/>
      <x:c r="C82" s="170"/>
      <x:c r="D82" s="170"/>
      <x:c r="E82" s="40" t="str">
        <x:f>IF($D82="","",IFERROR(INDEX(Lotes!$B$5:$B$204,MATCH($D82,Lotes!$A$5:$A$204,0)),""))</x:f>
      </x:c>
      <x:c r="F82" s="40" t="str">
        <x:f>IF($D82="","",IFERROR(INDEX(Lotes!$C$5:$C$204,MATCH($D82,Lotes!$A$5:$A$204,0)),""))</x:f>
      </x:c>
      <x:c r="G82" s="27"/>
      <x:c r="H82" s="40" t="str">
        <x:f>IF(A82="","",IF(O82&lt;&gt;"","n.a.",IF(OR(C82="Saída",C82="Perda",C82="Ajuste negativo"),-G82,G82)))</x:f>
      </x:c>
      <x:c r="I82" s="181" t="str">
        <x:f>IF($D82="","",IFERROR(INDEX(Lotes!$K$5:$K$204,MATCH($D82,Lotes!$A$5:$A$204,0)),0))</x:f>
      </x:c>
      <x:c r="J82" s="181" t="str">
        <x:f>IF(A82="","",IF(O82&lt;&gt;"","n.a.",ABS(H82)*I82))</x:f>
      </x:c>
      <x:c r="K82" s="27"/>
      <x:c r="L82" s="27"/>
      <x:c r="M82" s="27"/>
      <x:c r="N82" s="27"/>
      <x:c r="O82" s="163" t="str">
        <x:f>IF(COUNTA(A82:D82,G82,K82:N82)=0,"",IF(OR(A82="",COUNTIFS($A$5:$A$304,A82)&lt;&gt;1),"ID ausente ou duplicado",IF(OR(NOT(ISNUMBER(B82)),B82&lt;=0),"Data ausente ou inválida",IF(AND(C82&lt;&gt;"Entrada",C82&lt;&gt;"Saída",C82&lt;&gt;"Perda",C82&lt;&gt;"Ajuste positivo",C82&lt;&gt;"Ajuste negativo"),"Tipo de movimento inválido",IF(OR(D82="",COUNTIFS(Lotes!$A$5:$A$204,D82)&lt;&gt;1),"Lote ausente ou desconhecido",IF(COUNTIFS(Lotes!$A$5:$A$204,D82,Lotes!$S$5:$S$204,"?*")&gt;0,"Revisar cadastro do lote",IF(B82&lt;INDEX(Lotes!$E$5:$E$204,MATCH(D82,Lotes!$A$5:$A$204,0)),"Movimento anterior ao recebimento",IF(OR(NOT(ISNUMBER(G82)),G82&lt;=0),"Quantidade ausente ou inválida",""))))))))</x:f>
      </x:c>
      <x:c r="P82" s="163" t="n">
        <x:f>IF(O82="",0,1)</x:f>
        <x:v>0</x:v>
      </x:c>
      <x:c r="Q82" s="163" t="n">
        <x:f>IF(COUNTA(A82:D82,G82,K82:N82)=0,0,IF(OR(Listas!$B$19="Todos",E82=Listas!$B$19,E82="",COUNTIFS(Lotes!$A$5:$A$204,D82)&lt;&gt;1),1,0))</x:f>
        <x:v>0</x:v>
      </x:c>
      <x:c r="R82" s="1"/>
      <x:c r="S82" s="1"/>
      <x:c r="T82" s="1"/>
      <x:c r="U82" s="1"/>
      <x:c r="V82" s="1"/>
      <x:c r="W82" s="1"/>
    </x:row>
    <x:row r="83" ht="32" customHeight="1">
      <x:c r="A83" s="170"/>
      <x:c r="B83" s="179"/>
      <x:c r="C83" s="170"/>
      <x:c r="D83" s="170"/>
      <x:c r="E83" s="40" t="str">
        <x:f>IF($D83="","",IFERROR(INDEX(Lotes!$B$5:$B$204,MATCH($D83,Lotes!$A$5:$A$204,0)),""))</x:f>
      </x:c>
      <x:c r="F83" s="40" t="str">
        <x:f>IF($D83="","",IFERROR(INDEX(Lotes!$C$5:$C$204,MATCH($D83,Lotes!$A$5:$A$204,0)),""))</x:f>
      </x:c>
      <x:c r="G83" s="27"/>
      <x:c r="H83" s="40" t="str">
        <x:f>IF(A83="","",IF(O83&lt;&gt;"","n.a.",IF(OR(C83="Saída",C83="Perda",C83="Ajuste negativo"),-G83,G83)))</x:f>
      </x:c>
      <x:c r="I83" s="181" t="str">
        <x:f>IF($D83="","",IFERROR(INDEX(Lotes!$K$5:$K$204,MATCH($D83,Lotes!$A$5:$A$204,0)),0))</x:f>
      </x:c>
      <x:c r="J83" s="181" t="str">
        <x:f>IF(A83="","",IF(O83&lt;&gt;"","n.a.",ABS(H83)*I83))</x:f>
      </x:c>
      <x:c r="K83" s="27"/>
      <x:c r="L83" s="27"/>
      <x:c r="M83" s="27"/>
      <x:c r="N83" s="27"/>
      <x:c r="O83" s="163" t="str">
        <x:f>IF(COUNTA(A83:D83,G83,K83:N83)=0,"",IF(OR(A83="",COUNTIFS($A$5:$A$304,A83)&lt;&gt;1),"ID ausente ou duplicado",IF(OR(NOT(ISNUMBER(B83)),B83&lt;=0),"Data ausente ou inválida",IF(AND(C83&lt;&gt;"Entrada",C83&lt;&gt;"Saída",C83&lt;&gt;"Perda",C83&lt;&gt;"Ajuste positivo",C83&lt;&gt;"Ajuste negativo"),"Tipo de movimento inválido",IF(OR(D83="",COUNTIFS(Lotes!$A$5:$A$204,D83)&lt;&gt;1),"Lote ausente ou desconhecido",IF(COUNTIFS(Lotes!$A$5:$A$204,D83,Lotes!$S$5:$S$204,"?*")&gt;0,"Revisar cadastro do lote",IF(B83&lt;INDEX(Lotes!$E$5:$E$204,MATCH(D83,Lotes!$A$5:$A$204,0)),"Movimento anterior ao recebimento",IF(OR(NOT(ISNUMBER(G83)),G83&lt;=0),"Quantidade ausente ou inválida",""))))))))</x:f>
      </x:c>
      <x:c r="P83" s="163" t="n">
        <x:f>IF(O83="",0,1)</x:f>
        <x:v>0</x:v>
      </x:c>
      <x:c r="Q83" s="163" t="n">
        <x:f>IF(COUNTA(A83:D83,G83,K83:N83)=0,0,IF(OR(Listas!$B$19="Todos",E83=Listas!$B$19,E83="",COUNTIFS(Lotes!$A$5:$A$204,D83)&lt;&gt;1),1,0))</x:f>
        <x:v>0</x:v>
      </x:c>
      <x:c r="R83" s="1"/>
      <x:c r="S83" s="1"/>
      <x:c r="T83" s="1"/>
      <x:c r="U83" s="1"/>
      <x:c r="V83" s="1"/>
      <x:c r="W83" s="1"/>
    </x:row>
    <x:row r="84" ht="32" customHeight="1">
      <x:c r="A84" s="170"/>
      <x:c r="B84" s="179"/>
      <x:c r="C84" s="170"/>
      <x:c r="D84" s="170"/>
      <x:c r="E84" s="40" t="str">
        <x:f>IF($D84="","",IFERROR(INDEX(Lotes!$B$5:$B$204,MATCH($D84,Lotes!$A$5:$A$204,0)),""))</x:f>
      </x:c>
      <x:c r="F84" s="40" t="str">
        <x:f>IF($D84="","",IFERROR(INDEX(Lotes!$C$5:$C$204,MATCH($D84,Lotes!$A$5:$A$204,0)),""))</x:f>
      </x:c>
      <x:c r="G84" s="27"/>
      <x:c r="H84" s="40" t="str">
        <x:f>IF(A84="","",IF(O84&lt;&gt;"","n.a.",IF(OR(C84="Saída",C84="Perda",C84="Ajuste negativo"),-G84,G84)))</x:f>
      </x:c>
      <x:c r="I84" s="181" t="str">
        <x:f>IF($D84="","",IFERROR(INDEX(Lotes!$K$5:$K$204,MATCH($D84,Lotes!$A$5:$A$204,0)),0))</x:f>
      </x:c>
      <x:c r="J84" s="181" t="str">
        <x:f>IF(A84="","",IF(O84&lt;&gt;"","n.a.",ABS(H84)*I84))</x:f>
      </x:c>
      <x:c r="K84" s="27"/>
      <x:c r="L84" s="27"/>
      <x:c r="M84" s="27"/>
      <x:c r="N84" s="27"/>
      <x:c r="O84" s="163" t="str">
        <x:f>IF(COUNTA(A84:D84,G84,K84:N84)=0,"",IF(OR(A84="",COUNTIFS($A$5:$A$304,A84)&lt;&gt;1),"ID ausente ou duplicado",IF(OR(NOT(ISNUMBER(B84)),B84&lt;=0),"Data ausente ou inválida",IF(AND(C84&lt;&gt;"Entrada",C84&lt;&gt;"Saída",C84&lt;&gt;"Perda",C84&lt;&gt;"Ajuste positivo",C84&lt;&gt;"Ajuste negativo"),"Tipo de movimento inválido",IF(OR(D84="",COUNTIFS(Lotes!$A$5:$A$204,D84)&lt;&gt;1),"Lote ausente ou desconhecido",IF(COUNTIFS(Lotes!$A$5:$A$204,D84,Lotes!$S$5:$S$204,"?*")&gt;0,"Revisar cadastro do lote",IF(B84&lt;INDEX(Lotes!$E$5:$E$204,MATCH(D84,Lotes!$A$5:$A$204,0)),"Movimento anterior ao recebimento",IF(OR(NOT(ISNUMBER(G84)),G84&lt;=0),"Quantidade ausente ou inválida",""))))))))</x:f>
      </x:c>
      <x:c r="P84" s="163" t="n">
        <x:f>IF(O84="",0,1)</x:f>
        <x:v>0</x:v>
      </x:c>
      <x:c r="Q84" s="163" t="n">
        <x:f>IF(COUNTA(A84:D84,G84,K84:N84)=0,0,IF(OR(Listas!$B$19="Todos",E84=Listas!$B$19,E84="",COUNTIFS(Lotes!$A$5:$A$204,D84)&lt;&gt;1),1,0))</x:f>
        <x:v>0</x:v>
      </x:c>
      <x:c r="R84" s="1"/>
      <x:c r="S84" s="1"/>
      <x:c r="T84" s="1"/>
      <x:c r="U84" s="1"/>
      <x:c r="V84" s="1"/>
      <x:c r="W84" s="1"/>
    </x:row>
    <x:row r="85" ht="32" customHeight="1">
      <x:c r="A85" s="170"/>
      <x:c r="B85" s="179"/>
      <x:c r="C85" s="170"/>
      <x:c r="D85" s="170"/>
      <x:c r="E85" s="40" t="str">
        <x:f>IF($D85="","",IFERROR(INDEX(Lotes!$B$5:$B$204,MATCH($D85,Lotes!$A$5:$A$204,0)),""))</x:f>
      </x:c>
      <x:c r="F85" s="40" t="str">
        <x:f>IF($D85="","",IFERROR(INDEX(Lotes!$C$5:$C$204,MATCH($D85,Lotes!$A$5:$A$204,0)),""))</x:f>
      </x:c>
      <x:c r="G85" s="27"/>
      <x:c r="H85" s="40" t="str">
        <x:f>IF(A85="","",IF(O85&lt;&gt;"","n.a.",IF(OR(C85="Saída",C85="Perda",C85="Ajuste negativo"),-G85,G85)))</x:f>
      </x:c>
      <x:c r="I85" s="181" t="str">
        <x:f>IF($D85="","",IFERROR(INDEX(Lotes!$K$5:$K$204,MATCH($D85,Lotes!$A$5:$A$204,0)),0))</x:f>
      </x:c>
      <x:c r="J85" s="181" t="str">
        <x:f>IF(A85="","",IF(O85&lt;&gt;"","n.a.",ABS(H85)*I85))</x:f>
      </x:c>
      <x:c r="K85" s="27"/>
      <x:c r="L85" s="27"/>
      <x:c r="M85" s="27"/>
      <x:c r="N85" s="27"/>
      <x:c r="O85" s="163" t="str">
        <x:f>IF(COUNTA(A85:D85,G85,K85:N85)=0,"",IF(OR(A85="",COUNTIFS($A$5:$A$304,A85)&lt;&gt;1),"ID ausente ou duplicado",IF(OR(NOT(ISNUMBER(B85)),B85&lt;=0),"Data ausente ou inválida",IF(AND(C85&lt;&gt;"Entrada",C85&lt;&gt;"Saída",C85&lt;&gt;"Perda",C85&lt;&gt;"Ajuste positivo",C85&lt;&gt;"Ajuste negativo"),"Tipo de movimento inválido",IF(OR(D85="",COUNTIFS(Lotes!$A$5:$A$204,D85)&lt;&gt;1),"Lote ausente ou desconhecido",IF(COUNTIFS(Lotes!$A$5:$A$204,D85,Lotes!$S$5:$S$204,"?*")&gt;0,"Revisar cadastro do lote",IF(B85&lt;INDEX(Lotes!$E$5:$E$204,MATCH(D85,Lotes!$A$5:$A$204,0)),"Movimento anterior ao recebimento",IF(OR(NOT(ISNUMBER(G85)),G85&lt;=0),"Quantidade ausente ou inválida",""))))))))</x:f>
      </x:c>
      <x:c r="P85" s="163" t="n">
        <x:f>IF(O85="",0,1)</x:f>
        <x:v>0</x:v>
      </x:c>
      <x:c r="Q85" s="163" t="n">
        <x:f>IF(COUNTA(A85:D85,G85,K85:N85)=0,0,IF(OR(Listas!$B$19="Todos",E85=Listas!$B$19,E85="",COUNTIFS(Lotes!$A$5:$A$204,D85)&lt;&gt;1),1,0))</x:f>
        <x:v>0</x:v>
      </x:c>
      <x:c r="R85" s="1"/>
      <x:c r="S85" s="1"/>
      <x:c r="T85" s="1"/>
      <x:c r="U85" s="1"/>
      <x:c r="V85" s="1"/>
      <x:c r="W85" s="1"/>
    </x:row>
    <x:row r="86" ht="32" customHeight="1">
      <x:c r="A86" s="170"/>
      <x:c r="B86" s="179"/>
      <x:c r="C86" s="170"/>
      <x:c r="D86" s="170"/>
      <x:c r="E86" s="40" t="str">
        <x:f>IF($D86="","",IFERROR(INDEX(Lotes!$B$5:$B$204,MATCH($D86,Lotes!$A$5:$A$204,0)),""))</x:f>
      </x:c>
      <x:c r="F86" s="40" t="str">
        <x:f>IF($D86="","",IFERROR(INDEX(Lotes!$C$5:$C$204,MATCH($D86,Lotes!$A$5:$A$204,0)),""))</x:f>
      </x:c>
      <x:c r="G86" s="27"/>
      <x:c r="H86" s="40" t="str">
        <x:f>IF(A86="","",IF(O86&lt;&gt;"","n.a.",IF(OR(C86="Saída",C86="Perda",C86="Ajuste negativo"),-G86,G86)))</x:f>
      </x:c>
      <x:c r="I86" s="181" t="str">
        <x:f>IF($D86="","",IFERROR(INDEX(Lotes!$K$5:$K$204,MATCH($D86,Lotes!$A$5:$A$204,0)),0))</x:f>
      </x:c>
      <x:c r="J86" s="181" t="str">
        <x:f>IF(A86="","",IF(O86&lt;&gt;"","n.a.",ABS(H86)*I86))</x:f>
      </x:c>
      <x:c r="K86" s="27"/>
      <x:c r="L86" s="27"/>
      <x:c r="M86" s="27"/>
      <x:c r="N86" s="27"/>
      <x:c r="O86" s="163" t="str">
        <x:f>IF(COUNTA(A86:D86,G86,K86:N86)=0,"",IF(OR(A86="",COUNTIFS($A$5:$A$304,A86)&lt;&gt;1),"ID ausente ou duplicado",IF(OR(NOT(ISNUMBER(B86)),B86&lt;=0),"Data ausente ou inválida",IF(AND(C86&lt;&gt;"Entrada",C86&lt;&gt;"Saída",C86&lt;&gt;"Perda",C86&lt;&gt;"Ajuste positivo",C86&lt;&gt;"Ajuste negativo"),"Tipo de movimento inválido",IF(OR(D86="",COUNTIFS(Lotes!$A$5:$A$204,D86)&lt;&gt;1),"Lote ausente ou desconhecido",IF(COUNTIFS(Lotes!$A$5:$A$204,D86,Lotes!$S$5:$S$204,"?*")&gt;0,"Revisar cadastro do lote",IF(B86&lt;INDEX(Lotes!$E$5:$E$204,MATCH(D86,Lotes!$A$5:$A$204,0)),"Movimento anterior ao recebimento",IF(OR(NOT(ISNUMBER(G86)),G86&lt;=0),"Quantidade ausente ou inválida",""))))))))</x:f>
      </x:c>
      <x:c r="P86" s="163" t="n">
        <x:f>IF(O86="",0,1)</x:f>
        <x:v>0</x:v>
      </x:c>
      <x:c r="Q86" s="163" t="n">
        <x:f>IF(COUNTA(A86:D86,G86,K86:N86)=0,0,IF(OR(Listas!$B$19="Todos",E86=Listas!$B$19,E86="",COUNTIFS(Lotes!$A$5:$A$204,D86)&lt;&gt;1),1,0))</x:f>
        <x:v>0</x:v>
      </x:c>
      <x:c r="R86" s="1"/>
      <x:c r="S86" s="1"/>
      <x:c r="T86" s="1"/>
      <x:c r="U86" s="1"/>
      <x:c r="V86" s="1"/>
      <x:c r="W86" s="1"/>
    </x:row>
    <x:row r="87" ht="32" customHeight="1">
      <x:c r="A87" s="170"/>
      <x:c r="B87" s="179"/>
      <x:c r="C87" s="170"/>
      <x:c r="D87" s="170"/>
      <x:c r="E87" s="40" t="str">
        <x:f>IF($D87="","",IFERROR(INDEX(Lotes!$B$5:$B$204,MATCH($D87,Lotes!$A$5:$A$204,0)),""))</x:f>
      </x:c>
      <x:c r="F87" s="40" t="str">
        <x:f>IF($D87="","",IFERROR(INDEX(Lotes!$C$5:$C$204,MATCH($D87,Lotes!$A$5:$A$204,0)),""))</x:f>
      </x:c>
      <x:c r="G87" s="27"/>
      <x:c r="H87" s="40" t="str">
        <x:f>IF(A87="","",IF(O87&lt;&gt;"","n.a.",IF(OR(C87="Saída",C87="Perda",C87="Ajuste negativo"),-G87,G87)))</x:f>
      </x:c>
      <x:c r="I87" s="181" t="str">
        <x:f>IF($D87="","",IFERROR(INDEX(Lotes!$K$5:$K$204,MATCH($D87,Lotes!$A$5:$A$204,0)),0))</x:f>
      </x:c>
      <x:c r="J87" s="181" t="str">
        <x:f>IF(A87="","",IF(O87&lt;&gt;"","n.a.",ABS(H87)*I87))</x:f>
      </x:c>
      <x:c r="K87" s="27"/>
      <x:c r="L87" s="27"/>
      <x:c r="M87" s="27"/>
      <x:c r="N87" s="27"/>
      <x:c r="O87" s="163" t="str">
        <x:f>IF(COUNTA(A87:D87,G87,K87:N87)=0,"",IF(OR(A87="",COUNTIFS($A$5:$A$304,A87)&lt;&gt;1),"ID ausente ou duplicado",IF(OR(NOT(ISNUMBER(B87)),B87&lt;=0),"Data ausente ou inválida",IF(AND(C87&lt;&gt;"Entrada",C87&lt;&gt;"Saída",C87&lt;&gt;"Perda",C87&lt;&gt;"Ajuste positivo",C87&lt;&gt;"Ajuste negativo"),"Tipo de movimento inválido",IF(OR(D87="",COUNTIFS(Lotes!$A$5:$A$204,D87)&lt;&gt;1),"Lote ausente ou desconhecido",IF(COUNTIFS(Lotes!$A$5:$A$204,D87,Lotes!$S$5:$S$204,"?*")&gt;0,"Revisar cadastro do lote",IF(B87&lt;INDEX(Lotes!$E$5:$E$204,MATCH(D87,Lotes!$A$5:$A$204,0)),"Movimento anterior ao recebimento",IF(OR(NOT(ISNUMBER(G87)),G87&lt;=0),"Quantidade ausente ou inválida",""))))))))</x:f>
      </x:c>
      <x:c r="P87" s="163" t="n">
        <x:f>IF(O87="",0,1)</x:f>
        <x:v>0</x:v>
      </x:c>
      <x:c r="Q87" s="163" t="n">
        <x:f>IF(COUNTA(A87:D87,G87,K87:N87)=0,0,IF(OR(Listas!$B$19="Todos",E87=Listas!$B$19,E87="",COUNTIFS(Lotes!$A$5:$A$204,D87)&lt;&gt;1),1,0))</x:f>
        <x:v>0</x:v>
      </x:c>
      <x:c r="R87" s="1"/>
      <x:c r="S87" s="1"/>
      <x:c r="T87" s="1"/>
      <x:c r="U87" s="1"/>
      <x:c r="V87" s="1"/>
      <x:c r="W87" s="1"/>
    </x:row>
    <x:row r="88" ht="32" customHeight="1">
      <x:c r="A88" s="170"/>
      <x:c r="B88" s="179"/>
      <x:c r="C88" s="170"/>
      <x:c r="D88" s="170"/>
      <x:c r="E88" s="40" t="str">
        <x:f>IF($D88="","",IFERROR(INDEX(Lotes!$B$5:$B$204,MATCH($D88,Lotes!$A$5:$A$204,0)),""))</x:f>
      </x:c>
      <x:c r="F88" s="40" t="str">
        <x:f>IF($D88="","",IFERROR(INDEX(Lotes!$C$5:$C$204,MATCH($D88,Lotes!$A$5:$A$204,0)),""))</x:f>
      </x:c>
      <x:c r="G88" s="27"/>
      <x:c r="H88" s="40" t="str">
        <x:f>IF(A88="","",IF(O88&lt;&gt;"","n.a.",IF(OR(C88="Saída",C88="Perda",C88="Ajuste negativo"),-G88,G88)))</x:f>
      </x:c>
      <x:c r="I88" s="181" t="str">
        <x:f>IF($D88="","",IFERROR(INDEX(Lotes!$K$5:$K$204,MATCH($D88,Lotes!$A$5:$A$204,0)),0))</x:f>
      </x:c>
      <x:c r="J88" s="181" t="str">
        <x:f>IF(A88="","",IF(O88&lt;&gt;"","n.a.",ABS(H88)*I88))</x:f>
      </x:c>
      <x:c r="K88" s="27"/>
      <x:c r="L88" s="27"/>
      <x:c r="M88" s="27"/>
      <x:c r="N88" s="27"/>
      <x:c r="O88" s="163" t="str">
        <x:f>IF(COUNTA(A88:D88,G88,K88:N88)=0,"",IF(OR(A88="",COUNTIFS($A$5:$A$304,A88)&lt;&gt;1),"ID ausente ou duplicado",IF(OR(NOT(ISNUMBER(B88)),B88&lt;=0),"Data ausente ou inválida",IF(AND(C88&lt;&gt;"Entrada",C88&lt;&gt;"Saída",C88&lt;&gt;"Perda",C88&lt;&gt;"Ajuste positivo",C88&lt;&gt;"Ajuste negativo"),"Tipo de movimento inválido",IF(OR(D88="",COUNTIFS(Lotes!$A$5:$A$204,D88)&lt;&gt;1),"Lote ausente ou desconhecido",IF(COUNTIFS(Lotes!$A$5:$A$204,D88,Lotes!$S$5:$S$204,"?*")&gt;0,"Revisar cadastro do lote",IF(B88&lt;INDEX(Lotes!$E$5:$E$204,MATCH(D88,Lotes!$A$5:$A$204,0)),"Movimento anterior ao recebimento",IF(OR(NOT(ISNUMBER(G88)),G88&lt;=0),"Quantidade ausente ou inválida",""))))))))</x:f>
      </x:c>
      <x:c r="P88" s="163" t="n">
        <x:f>IF(O88="",0,1)</x:f>
        <x:v>0</x:v>
      </x:c>
      <x:c r="Q88" s="163" t="n">
        <x:f>IF(COUNTA(A88:D88,G88,K88:N88)=0,0,IF(OR(Listas!$B$19="Todos",E88=Listas!$B$19,E88="",COUNTIFS(Lotes!$A$5:$A$204,D88)&lt;&gt;1),1,0))</x:f>
        <x:v>0</x:v>
      </x:c>
      <x:c r="R88" s="1"/>
      <x:c r="S88" s="1"/>
      <x:c r="T88" s="1"/>
      <x:c r="U88" s="1"/>
      <x:c r="V88" s="1"/>
      <x:c r="W88" s="1"/>
    </x:row>
    <x:row r="89" ht="32" customHeight="1">
      <x:c r="A89" s="170"/>
      <x:c r="B89" s="179"/>
      <x:c r="C89" s="170"/>
      <x:c r="D89" s="170"/>
      <x:c r="E89" s="40" t="str">
        <x:f>IF($D89="","",IFERROR(INDEX(Lotes!$B$5:$B$204,MATCH($D89,Lotes!$A$5:$A$204,0)),""))</x:f>
      </x:c>
      <x:c r="F89" s="40" t="str">
        <x:f>IF($D89="","",IFERROR(INDEX(Lotes!$C$5:$C$204,MATCH($D89,Lotes!$A$5:$A$204,0)),""))</x:f>
      </x:c>
      <x:c r="G89" s="27"/>
      <x:c r="H89" s="40" t="str">
        <x:f>IF(A89="","",IF(O89&lt;&gt;"","n.a.",IF(OR(C89="Saída",C89="Perda",C89="Ajuste negativo"),-G89,G89)))</x:f>
      </x:c>
      <x:c r="I89" s="181" t="str">
        <x:f>IF($D89="","",IFERROR(INDEX(Lotes!$K$5:$K$204,MATCH($D89,Lotes!$A$5:$A$204,0)),0))</x:f>
      </x:c>
      <x:c r="J89" s="181" t="str">
        <x:f>IF(A89="","",IF(O89&lt;&gt;"","n.a.",ABS(H89)*I89))</x:f>
      </x:c>
      <x:c r="K89" s="27"/>
      <x:c r="L89" s="27"/>
      <x:c r="M89" s="27"/>
      <x:c r="N89" s="27"/>
      <x:c r="O89" s="163" t="str">
        <x:f>IF(COUNTA(A89:D89,G89,K89:N89)=0,"",IF(OR(A89="",COUNTIFS($A$5:$A$304,A89)&lt;&gt;1),"ID ausente ou duplicado",IF(OR(NOT(ISNUMBER(B89)),B89&lt;=0),"Data ausente ou inválida",IF(AND(C89&lt;&gt;"Entrada",C89&lt;&gt;"Saída",C89&lt;&gt;"Perda",C89&lt;&gt;"Ajuste positivo",C89&lt;&gt;"Ajuste negativo"),"Tipo de movimento inválido",IF(OR(D89="",COUNTIFS(Lotes!$A$5:$A$204,D89)&lt;&gt;1),"Lote ausente ou desconhecido",IF(COUNTIFS(Lotes!$A$5:$A$204,D89,Lotes!$S$5:$S$204,"?*")&gt;0,"Revisar cadastro do lote",IF(B89&lt;INDEX(Lotes!$E$5:$E$204,MATCH(D89,Lotes!$A$5:$A$204,0)),"Movimento anterior ao recebimento",IF(OR(NOT(ISNUMBER(G89)),G89&lt;=0),"Quantidade ausente ou inválida",""))))))))</x:f>
      </x:c>
      <x:c r="P89" s="163" t="n">
        <x:f>IF(O89="",0,1)</x:f>
        <x:v>0</x:v>
      </x:c>
      <x:c r="Q89" s="163" t="n">
        <x:f>IF(COUNTA(A89:D89,G89,K89:N89)=0,0,IF(OR(Listas!$B$19="Todos",E89=Listas!$B$19,E89="",COUNTIFS(Lotes!$A$5:$A$204,D89)&lt;&gt;1),1,0))</x:f>
        <x:v>0</x:v>
      </x:c>
      <x:c r="R89" s="1"/>
      <x:c r="S89" s="1"/>
      <x:c r="T89" s="1"/>
      <x:c r="U89" s="1"/>
      <x:c r="V89" s="1"/>
      <x:c r="W89" s="1"/>
    </x:row>
    <x:row r="90" ht="32" customHeight="1">
      <x:c r="A90" s="170"/>
      <x:c r="B90" s="179"/>
      <x:c r="C90" s="170"/>
      <x:c r="D90" s="170"/>
      <x:c r="E90" s="40" t="str">
        <x:f>IF($D90="","",IFERROR(INDEX(Lotes!$B$5:$B$204,MATCH($D90,Lotes!$A$5:$A$204,0)),""))</x:f>
      </x:c>
      <x:c r="F90" s="40" t="str">
        <x:f>IF($D90="","",IFERROR(INDEX(Lotes!$C$5:$C$204,MATCH($D90,Lotes!$A$5:$A$204,0)),""))</x:f>
      </x:c>
      <x:c r="G90" s="27"/>
      <x:c r="H90" s="40" t="str">
        <x:f>IF(A90="","",IF(O90&lt;&gt;"","n.a.",IF(OR(C90="Saída",C90="Perda",C90="Ajuste negativo"),-G90,G90)))</x:f>
      </x:c>
      <x:c r="I90" s="181" t="str">
        <x:f>IF($D90="","",IFERROR(INDEX(Lotes!$K$5:$K$204,MATCH($D90,Lotes!$A$5:$A$204,0)),0))</x:f>
      </x:c>
      <x:c r="J90" s="181" t="str">
        <x:f>IF(A90="","",IF(O90&lt;&gt;"","n.a.",ABS(H90)*I90))</x:f>
      </x:c>
      <x:c r="K90" s="27"/>
      <x:c r="L90" s="27"/>
      <x:c r="M90" s="27"/>
      <x:c r="N90" s="27"/>
      <x:c r="O90" s="163" t="str">
        <x:f>IF(COUNTA(A90:D90,G90,K90:N90)=0,"",IF(OR(A90="",COUNTIFS($A$5:$A$304,A90)&lt;&gt;1),"ID ausente ou duplicado",IF(OR(NOT(ISNUMBER(B90)),B90&lt;=0),"Data ausente ou inválida",IF(AND(C90&lt;&gt;"Entrada",C90&lt;&gt;"Saída",C90&lt;&gt;"Perda",C90&lt;&gt;"Ajuste positivo",C90&lt;&gt;"Ajuste negativo"),"Tipo de movimento inválido",IF(OR(D90="",COUNTIFS(Lotes!$A$5:$A$204,D90)&lt;&gt;1),"Lote ausente ou desconhecido",IF(COUNTIFS(Lotes!$A$5:$A$204,D90,Lotes!$S$5:$S$204,"?*")&gt;0,"Revisar cadastro do lote",IF(B90&lt;INDEX(Lotes!$E$5:$E$204,MATCH(D90,Lotes!$A$5:$A$204,0)),"Movimento anterior ao recebimento",IF(OR(NOT(ISNUMBER(G90)),G90&lt;=0),"Quantidade ausente ou inválida",""))))))))</x:f>
      </x:c>
      <x:c r="P90" s="163" t="n">
        <x:f>IF(O90="",0,1)</x:f>
        <x:v>0</x:v>
      </x:c>
      <x:c r="Q90" s="163" t="n">
        <x:f>IF(COUNTA(A90:D90,G90,K90:N90)=0,0,IF(OR(Listas!$B$19="Todos",E90=Listas!$B$19,E90="",COUNTIFS(Lotes!$A$5:$A$204,D90)&lt;&gt;1),1,0))</x:f>
        <x:v>0</x:v>
      </x:c>
      <x:c r="R90" s="1"/>
      <x:c r="S90" s="1"/>
      <x:c r="T90" s="1"/>
      <x:c r="U90" s="1"/>
      <x:c r="V90" s="1"/>
      <x:c r="W90" s="1"/>
    </x:row>
    <x:row r="91" ht="32" customHeight="1">
      <x:c r="A91" s="170"/>
      <x:c r="B91" s="179"/>
      <x:c r="C91" s="170"/>
      <x:c r="D91" s="170"/>
      <x:c r="E91" s="40" t="str">
        <x:f>IF($D91="","",IFERROR(INDEX(Lotes!$B$5:$B$204,MATCH($D91,Lotes!$A$5:$A$204,0)),""))</x:f>
      </x:c>
      <x:c r="F91" s="40" t="str">
        <x:f>IF($D91="","",IFERROR(INDEX(Lotes!$C$5:$C$204,MATCH($D91,Lotes!$A$5:$A$204,0)),""))</x:f>
      </x:c>
      <x:c r="G91" s="27"/>
      <x:c r="H91" s="40" t="str">
        <x:f>IF(A91="","",IF(O91&lt;&gt;"","n.a.",IF(OR(C91="Saída",C91="Perda",C91="Ajuste negativo"),-G91,G91)))</x:f>
      </x:c>
      <x:c r="I91" s="181" t="str">
        <x:f>IF($D91="","",IFERROR(INDEX(Lotes!$K$5:$K$204,MATCH($D91,Lotes!$A$5:$A$204,0)),0))</x:f>
      </x:c>
      <x:c r="J91" s="181" t="str">
        <x:f>IF(A91="","",IF(O91&lt;&gt;"","n.a.",ABS(H91)*I91))</x:f>
      </x:c>
      <x:c r="K91" s="27"/>
      <x:c r="L91" s="27"/>
      <x:c r="M91" s="27"/>
      <x:c r="N91" s="27"/>
      <x:c r="O91" s="163" t="str">
        <x:f>IF(COUNTA(A91:D91,G91,K91:N91)=0,"",IF(OR(A91="",COUNTIFS($A$5:$A$304,A91)&lt;&gt;1),"ID ausente ou duplicado",IF(OR(NOT(ISNUMBER(B91)),B91&lt;=0),"Data ausente ou inválida",IF(AND(C91&lt;&gt;"Entrada",C91&lt;&gt;"Saída",C91&lt;&gt;"Perda",C91&lt;&gt;"Ajuste positivo",C91&lt;&gt;"Ajuste negativo"),"Tipo de movimento inválido",IF(OR(D91="",COUNTIFS(Lotes!$A$5:$A$204,D91)&lt;&gt;1),"Lote ausente ou desconhecido",IF(COUNTIFS(Lotes!$A$5:$A$204,D91,Lotes!$S$5:$S$204,"?*")&gt;0,"Revisar cadastro do lote",IF(B91&lt;INDEX(Lotes!$E$5:$E$204,MATCH(D91,Lotes!$A$5:$A$204,0)),"Movimento anterior ao recebimento",IF(OR(NOT(ISNUMBER(G91)),G91&lt;=0),"Quantidade ausente ou inválida",""))))))))</x:f>
      </x:c>
      <x:c r="P91" s="163" t="n">
        <x:f>IF(O91="",0,1)</x:f>
        <x:v>0</x:v>
      </x:c>
      <x:c r="Q91" s="163" t="n">
        <x:f>IF(COUNTA(A91:D91,G91,K91:N91)=0,0,IF(OR(Listas!$B$19="Todos",E91=Listas!$B$19,E91="",COUNTIFS(Lotes!$A$5:$A$204,D91)&lt;&gt;1),1,0))</x:f>
        <x:v>0</x:v>
      </x:c>
      <x:c r="R91" s="1"/>
      <x:c r="S91" s="1"/>
      <x:c r="T91" s="1"/>
      <x:c r="U91" s="1"/>
      <x:c r="V91" s="1"/>
      <x:c r="W91" s="1"/>
    </x:row>
    <x:row r="92" ht="32" customHeight="1">
      <x:c r="A92" s="170"/>
      <x:c r="B92" s="179"/>
      <x:c r="C92" s="170"/>
      <x:c r="D92" s="170"/>
      <x:c r="E92" s="40" t="str">
        <x:f>IF($D92="","",IFERROR(INDEX(Lotes!$B$5:$B$204,MATCH($D92,Lotes!$A$5:$A$204,0)),""))</x:f>
      </x:c>
      <x:c r="F92" s="40" t="str">
        <x:f>IF($D92="","",IFERROR(INDEX(Lotes!$C$5:$C$204,MATCH($D92,Lotes!$A$5:$A$204,0)),""))</x:f>
      </x:c>
      <x:c r="G92" s="27"/>
      <x:c r="H92" s="40" t="str">
        <x:f>IF(A92="","",IF(O92&lt;&gt;"","n.a.",IF(OR(C92="Saída",C92="Perda",C92="Ajuste negativo"),-G92,G92)))</x:f>
      </x:c>
      <x:c r="I92" s="181" t="str">
        <x:f>IF($D92="","",IFERROR(INDEX(Lotes!$K$5:$K$204,MATCH($D92,Lotes!$A$5:$A$204,0)),0))</x:f>
      </x:c>
      <x:c r="J92" s="181" t="str">
        <x:f>IF(A92="","",IF(O92&lt;&gt;"","n.a.",ABS(H92)*I92))</x:f>
      </x:c>
      <x:c r="K92" s="27"/>
      <x:c r="L92" s="27"/>
      <x:c r="M92" s="27"/>
      <x:c r="N92" s="27"/>
      <x:c r="O92" s="163" t="str">
        <x:f>IF(COUNTA(A92:D92,G92,K92:N92)=0,"",IF(OR(A92="",COUNTIFS($A$5:$A$304,A92)&lt;&gt;1),"ID ausente ou duplicado",IF(OR(NOT(ISNUMBER(B92)),B92&lt;=0),"Data ausente ou inválida",IF(AND(C92&lt;&gt;"Entrada",C92&lt;&gt;"Saída",C92&lt;&gt;"Perda",C92&lt;&gt;"Ajuste positivo",C92&lt;&gt;"Ajuste negativo"),"Tipo de movimento inválido",IF(OR(D92="",COUNTIFS(Lotes!$A$5:$A$204,D92)&lt;&gt;1),"Lote ausente ou desconhecido",IF(COUNTIFS(Lotes!$A$5:$A$204,D92,Lotes!$S$5:$S$204,"?*")&gt;0,"Revisar cadastro do lote",IF(B92&lt;INDEX(Lotes!$E$5:$E$204,MATCH(D92,Lotes!$A$5:$A$204,0)),"Movimento anterior ao recebimento",IF(OR(NOT(ISNUMBER(G92)),G92&lt;=0),"Quantidade ausente ou inválida",""))))))))</x:f>
      </x:c>
      <x:c r="P92" s="163" t="n">
        <x:f>IF(O92="",0,1)</x:f>
        <x:v>0</x:v>
      </x:c>
      <x:c r="Q92" s="163" t="n">
        <x:f>IF(COUNTA(A92:D92,G92,K92:N92)=0,0,IF(OR(Listas!$B$19="Todos",E92=Listas!$B$19,E92="",COUNTIFS(Lotes!$A$5:$A$204,D92)&lt;&gt;1),1,0))</x:f>
        <x:v>0</x:v>
      </x:c>
      <x:c r="R92" s="1"/>
      <x:c r="S92" s="1"/>
      <x:c r="T92" s="1"/>
      <x:c r="U92" s="1"/>
      <x:c r="V92" s="1"/>
      <x:c r="W92" s="1"/>
    </x:row>
    <x:row r="93" ht="32" customHeight="1">
      <x:c r="A93" s="170"/>
      <x:c r="B93" s="179"/>
      <x:c r="C93" s="170"/>
      <x:c r="D93" s="170"/>
      <x:c r="E93" s="40" t="str">
        <x:f>IF($D93="","",IFERROR(INDEX(Lotes!$B$5:$B$204,MATCH($D93,Lotes!$A$5:$A$204,0)),""))</x:f>
      </x:c>
      <x:c r="F93" s="40" t="str">
        <x:f>IF($D93="","",IFERROR(INDEX(Lotes!$C$5:$C$204,MATCH($D93,Lotes!$A$5:$A$204,0)),""))</x:f>
      </x:c>
      <x:c r="G93" s="27"/>
      <x:c r="H93" s="40" t="str">
        <x:f>IF(A93="","",IF(O93&lt;&gt;"","n.a.",IF(OR(C93="Saída",C93="Perda",C93="Ajuste negativo"),-G93,G93)))</x:f>
      </x:c>
      <x:c r="I93" s="181" t="str">
        <x:f>IF($D93="","",IFERROR(INDEX(Lotes!$K$5:$K$204,MATCH($D93,Lotes!$A$5:$A$204,0)),0))</x:f>
      </x:c>
      <x:c r="J93" s="181" t="str">
        <x:f>IF(A93="","",IF(O93&lt;&gt;"","n.a.",ABS(H93)*I93))</x:f>
      </x:c>
      <x:c r="K93" s="27"/>
      <x:c r="L93" s="27"/>
      <x:c r="M93" s="27"/>
      <x:c r="N93" s="27"/>
      <x:c r="O93" s="163" t="str">
        <x:f>IF(COUNTA(A93:D93,G93,K93:N93)=0,"",IF(OR(A93="",COUNTIFS($A$5:$A$304,A93)&lt;&gt;1),"ID ausente ou duplicado",IF(OR(NOT(ISNUMBER(B93)),B93&lt;=0),"Data ausente ou inválida",IF(AND(C93&lt;&gt;"Entrada",C93&lt;&gt;"Saída",C93&lt;&gt;"Perda",C93&lt;&gt;"Ajuste positivo",C93&lt;&gt;"Ajuste negativo"),"Tipo de movimento inválido",IF(OR(D93="",COUNTIFS(Lotes!$A$5:$A$204,D93)&lt;&gt;1),"Lote ausente ou desconhecido",IF(COUNTIFS(Lotes!$A$5:$A$204,D93,Lotes!$S$5:$S$204,"?*")&gt;0,"Revisar cadastro do lote",IF(B93&lt;INDEX(Lotes!$E$5:$E$204,MATCH(D93,Lotes!$A$5:$A$204,0)),"Movimento anterior ao recebimento",IF(OR(NOT(ISNUMBER(G93)),G93&lt;=0),"Quantidade ausente ou inválida",""))))))))</x:f>
      </x:c>
      <x:c r="P93" s="163" t="n">
        <x:f>IF(O93="",0,1)</x:f>
        <x:v>0</x:v>
      </x:c>
      <x:c r="Q93" s="163" t="n">
        <x:f>IF(COUNTA(A93:D93,G93,K93:N93)=0,0,IF(OR(Listas!$B$19="Todos",E93=Listas!$B$19,E93="",COUNTIFS(Lotes!$A$5:$A$204,D93)&lt;&gt;1),1,0))</x:f>
        <x:v>0</x:v>
      </x:c>
      <x:c r="R93" s="1"/>
      <x:c r="S93" s="1"/>
      <x:c r="T93" s="1"/>
      <x:c r="U93" s="1"/>
      <x:c r="V93" s="1"/>
      <x:c r="W93" s="1"/>
    </x:row>
    <x:row r="94" ht="32" customHeight="1">
      <x:c r="A94" s="170"/>
      <x:c r="B94" s="179"/>
      <x:c r="C94" s="170"/>
      <x:c r="D94" s="170"/>
      <x:c r="E94" s="40" t="str">
        <x:f>IF($D94="","",IFERROR(INDEX(Lotes!$B$5:$B$204,MATCH($D94,Lotes!$A$5:$A$204,0)),""))</x:f>
      </x:c>
      <x:c r="F94" s="40" t="str">
        <x:f>IF($D94="","",IFERROR(INDEX(Lotes!$C$5:$C$204,MATCH($D94,Lotes!$A$5:$A$204,0)),""))</x:f>
      </x:c>
      <x:c r="G94" s="27"/>
      <x:c r="H94" s="40" t="str">
        <x:f>IF(A94="","",IF(O94&lt;&gt;"","n.a.",IF(OR(C94="Saída",C94="Perda",C94="Ajuste negativo"),-G94,G94)))</x:f>
      </x:c>
      <x:c r="I94" s="181" t="str">
        <x:f>IF($D94="","",IFERROR(INDEX(Lotes!$K$5:$K$204,MATCH($D94,Lotes!$A$5:$A$204,0)),0))</x:f>
      </x:c>
      <x:c r="J94" s="181" t="str">
        <x:f>IF(A94="","",IF(O94&lt;&gt;"","n.a.",ABS(H94)*I94))</x:f>
      </x:c>
      <x:c r="K94" s="27"/>
      <x:c r="L94" s="27"/>
      <x:c r="M94" s="27"/>
      <x:c r="N94" s="27"/>
      <x:c r="O94" s="163" t="str">
        <x:f>IF(COUNTA(A94:D94,G94,K94:N94)=0,"",IF(OR(A94="",COUNTIFS($A$5:$A$304,A94)&lt;&gt;1),"ID ausente ou duplicado",IF(OR(NOT(ISNUMBER(B94)),B94&lt;=0),"Data ausente ou inválida",IF(AND(C94&lt;&gt;"Entrada",C94&lt;&gt;"Saída",C94&lt;&gt;"Perda",C94&lt;&gt;"Ajuste positivo",C94&lt;&gt;"Ajuste negativo"),"Tipo de movimento inválido",IF(OR(D94="",COUNTIFS(Lotes!$A$5:$A$204,D94)&lt;&gt;1),"Lote ausente ou desconhecido",IF(COUNTIFS(Lotes!$A$5:$A$204,D94,Lotes!$S$5:$S$204,"?*")&gt;0,"Revisar cadastro do lote",IF(B94&lt;INDEX(Lotes!$E$5:$E$204,MATCH(D94,Lotes!$A$5:$A$204,0)),"Movimento anterior ao recebimento",IF(OR(NOT(ISNUMBER(G94)),G94&lt;=0),"Quantidade ausente ou inválida",""))))))))</x:f>
      </x:c>
      <x:c r="P94" s="163" t="n">
        <x:f>IF(O94="",0,1)</x:f>
        <x:v>0</x:v>
      </x:c>
      <x:c r="Q94" s="163" t="n">
        <x:f>IF(COUNTA(A94:D94,G94,K94:N94)=0,0,IF(OR(Listas!$B$19="Todos",E94=Listas!$B$19,E94="",COUNTIFS(Lotes!$A$5:$A$204,D94)&lt;&gt;1),1,0))</x:f>
        <x:v>0</x:v>
      </x:c>
      <x:c r="R94" s="1"/>
      <x:c r="S94" s="1"/>
      <x:c r="T94" s="1"/>
      <x:c r="U94" s="1"/>
      <x:c r="V94" s="1"/>
      <x:c r="W94" s="1"/>
    </x:row>
    <x:row r="95" ht="32" customHeight="1">
      <x:c r="A95" s="170"/>
      <x:c r="B95" s="179"/>
      <x:c r="C95" s="170"/>
      <x:c r="D95" s="170"/>
      <x:c r="E95" s="40" t="str">
        <x:f>IF($D95="","",IFERROR(INDEX(Lotes!$B$5:$B$204,MATCH($D95,Lotes!$A$5:$A$204,0)),""))</x:f>
      </x:c>
      <x:c r="F95" s="40" t="str">
        <x:f>IF($D95="","",IFERROR(INDEX(Lotes!$C$5:$C$204,MATCH($D95,Lotes!$A$5:$A$204,0)),""))</x:f>
      </x:c>
      <x:c r="G95" s="27"/>
      <x:c r="H95" s="40" t="str">
        <x:f>IF(A95="","",IF(O95&lt;&gt;"","n.a.",IF(OR(C95="Saída",C95="Perda",C95="Ajuste negativo"),-G95,G95)))</x:f>
      </x:c>
      <x:c r="I95" s="181" t="str">
        <x:f>IF($D95="","",IFERROR(INDEX(Lotes!$K$5:$K$204,MATCH($D95,Lotes!$A$5:$A$204,0)),0))</x:f>
      </x:c>
      <x:c r="J95" s="181" t="str">
        <x:f>IF(A95="","",IF(O95&lt;&gt;"","n.a.",ABS(H95)*I95))</x:f>
      </x:c>
      <x:c r="K95" s="27"/>
      <x:c r="L95" s="27"/>
      <x:c r="M95" s="27"/>
      <x:c r="N95" s="27"/>
      <x:c r="O95" s="163" t="str">
        <x:f>IF(COUNTA(A95:D95,G95,K95:N95)=0,"",IF(OR(A95="",COUNTIFS($A$5:$A$304,A95)&lt;&gt;1),"ID ausente ou duplicado",IF(OR(NOT(ISNUMBER(B95)),B95&lt;=0),"Data ausente ou inválida",IF(AND(C95&lt;&gt;"Entrada",C95&lt;&gt;"Saída",C95&lt;&gt;"Perda",C95&lt;&gt;"Ajuste positivo",C95&lt;&gt;"Ajuste negativo"),"Tipo de movimento inválido",IF(OR(D95="",COUNTIFS(Lotes!$A$5:$A$204,D95)&lt;&gt;1),"Lote ausente ou desconhecido",IF(COUNTIFS(Lotes!$A$5:$A$204,D95,Lotes!$S$5:$S$204,"?*")&gt;0,"Revisar cadastro do lote",IF(B95&lt;INDEX(Lotes!$E$5:$E$204,MATCH(D95,Lotes!$A$5:$A$204,0)),"Movimento anterior ao recebimento",IF(OR(NOT(ISNUMBER(G95)),G95&lt;=0),"Quantidade ausente ou inválida",""))))))))</x:f>
      </x:c>
      <x:c r="P95" s="163" t="n">
        <x:f>IF(O95="",0,1)</x:f>
        <x:v>0</x:v>
      </x:c>
      <x:c r="Q95" s="163" t="n">
        <x:f>IF(COUNTA(A95:D95,G95,K95:N95)=0,0,IF(OR(Listas!$B$19="Todos",E95=Listas!$B$19,E95="",COUNTIFS(Lotes!$A$5:$A$204,D95)&lt;&gt;1),1,0))</x:f>
        <x:v>0</x:v>
      </x:c>
      <x:c r="R95" s="1"/>
      <x:c r="S95" s="1"/>
      <x:c r="T95" s="1"/>
      <x:c r="U95" s="1"/>
      <x:c r="V95" s="1"/>
      <x:c r="W95" s="1"/>
    </x:row>
    <x:row r="96" ht="32" customHeight="1">
      <x:c r="A96" s="170"/>
      <x:c r="B96" s="179"/>
      <x:c r="C96" s="170"/>
      <x:c r="D96" s="170"/>
      <x:c r="E96" s="40" t="str">
        <x:f>IF($D96="","",IFERROR(INDEX(Lotes!$B$5:$B$204,MATCH($D96,Lotes!$A$5:$A$204,0)),""))</x:f>
      </x:c>
      <x:c r="F96" s="40" t="str">
        <x:f>IF($D96="","",IFERROR(INDEX(Lotes!$C$5:$C$204,MATCH($D96,Lotes!$A$5:$A$204,0)),""))</x:f>
      </x:c>
      <x:c r="G96" s="27"/>
      <x:c r="H96" s="40" t="str">
        <x:f>IF(A96="","",IF(O96&lt;&gt;"","n.a.",IF(OR(C96="Saída",C96="Perda",C96="Ajuste negativo"),-G96,G96)))</x:f>
      </x:c>
      <x:c r="I96" s="181" t="str">
        <x:f>IF($D96="","",IFERROR(INDEX(Lotes!$K$5:$K$204,MATCH($D96,Lotes!$A$5:$A$204,0)),0))</x:f>
      </x:c>
      <x:c r="J96" s="181" t="str">
        <x:f>IF(A96="","",IF(O96&lt;&gt;"","n.a.",ABS(H96)*I96))</x:f>
      </x:c>
      <x:c r="K96" s="27"/>
      <x:c r="L96" s="27"/>
      <x:c r="M96" s="27"/>
      <x:c r="N96" s="27"/>
      <x:c r="O96" s="163" t="str">
        <x:f>IF(COUNTA(A96:D96,G96,K96:N96)=0,"",IF(OR(A96="",COUNTIFS($A$5:$A$304,A96)&lt;&gt;1),"ID ausente ou duplicado",IF(OR(NOT(ISNUMBER(B96)),B96&lt;=0),"Data ausente ou inválida",IF(AND(C96&lt;&gt;"Entrada",C96&lt;&gt;"Saída",C96&lt;&gt;"Perda",C96&lt;&gt;"Ajuste positivo",C96&lt;&gt;"Ajuste negativo"),"Tipo de movimento inválido",IF(OR(D96="",COUNTIFS(Lotes!$A$5:$A$204,D96)&lt;&gt;1),"Lote ausente ou desconhecido",IF(COUNTIFS(Lotes!$A$5:$A$204,D96,Lotes!$S$5:$S$204,"?*")&gt;0,"Revisar cadastro do lote",IF(B96&lt;INDEX(Lotes!$E$5:$E$204,MATCH(D96,Lotes!$A$5:$A$204,0)),"Movimento anterior ao recebimento",IF(OR(NOT(ISNUMBER(G96)),G96&lt;=0),"Quantidade ausente ou inválida",""))))))))</x:f>
      </x:c>
      <x:c r="P96" s="163" t="n">
        <x:f>IF(O96="",0,1)</x:f>
        <x:v>0</x:v>
      </x:c>
      <x:c r="Q96" s="163" t="n">
        <x:f>IF(COUNTA(A96:D96,G96,K96:N96)=0,0,IF(OR(Listas!$B$19="Todos",E96=Listas!$B$19,E96="",COUNTIFS(Lotes!$A$5:$A$204,D96)&lt;&gt;1),1,0))</x:f>
        <x:v>0</x:v>
      </x:c>
      <x:c r="R96" s="1"/>
      <x:c r="S96" s="1"/>
      <x:c r="T96" s="1"/>
      <x:c r="U96" s="1"/>
      <x:c r="V96" s="1"/>
      <x:c r="W96" s="1"/>
    </x:row>
    <x:row r="97" ht="32" customHeight="1">
      <x:c r="A97" s="170"/>
      <x:c r="B97" s="179"/>
      <x:c r="C97" s="170"/>
      <x:c r="D97" s="170"/>
      <x:c r="E97" s="40" t="str">
        <x:f>IF($D97="","",IFERROR(INDEX(Lotes!$B$5:$B$204,MATCH($D97,Lotes!$A$5:$A$204,0)),""))</x:f>
      </x:c>
      <x:c r="F97" s="40" t="str">
        <x:f>IF($D97="","",IFERROR(INDEX(Lotes!$C$5:$C$204,MATCH($D97,Lotes!$A$5:$A$204,0)),""))</x:f>
      </x:c>
      <x:c r="G97" s="27"/>
      <x:c r="H97" s="40" t="str">
        <x:f>IF(A97="","",IF(O97&lt;&gt;"","n.a.",IF(OR(C97="Saída",C97="Perda",C97="Ajuste negativo"),-G97,G97)))</x:f>
      </x:c>
      <x:c r="I97" s="181" t="str">
        <x:f>IF($D97="","",IFERROR(INDEX(Lotes!$K$5:$K$204,MATCH($D97,Lotes!$A$5:$A$204,0)),0))</x:f>
      </x:c>
      <x:c r="J97" s="181" t="str">
        <x:f>IF(A97="","",IF(O97&lt;&gt;"","n.a.",ABS(H97)*I97))</x:f>
      </x:c>
      <x:c r="K97" s="27"/>
      <x:c r="L97" s="27"/>
      <x:c r="M97" s="27"/>
      <x:c r="N97" s="27"/>
      <x:c r="O97" s="163" t="str">
        <x:f>IF(COUNTA(A97:D97,G97,K97:N97)=0,"",IF(OR(A97="",COUNTIFS($A$5:$A$304,A97)&lt;&gt;1),"ID ausente ou duplicado",IF(OR(NOT(ISNUMBER(B97)),B97&lt;=0),"Data ausente ou inválida",IF(AND(C97&lt;&gt;"Entrada",C97&lt;&gt;"Saída",C97&lt;&gt;"Perda",C97&lt;&gt;"Ajuste positivo",C97&lt;&gt;"Ajuste negativo"),"Tipo de movimento inválido",IF(OR(D97="",COUNTIFS(Lotes!$A$5:$A$204,D97)&lt;&gt;1),"Lote ausente ou desconhecido",IF(COUNTIFS(Lotes!$A$5:$A$204,D97,Lotes!$S$5:$S$204,"?*")&gt;0,"Revisar cadastro do lote",IF(B97&lt;INDEX(Lotes!$E$5:$E$204,MATCH(D97,Lotes!$A$5:$A$204,0)),"Movimento anterior ao recebimento",IF(OR(NOT(ISNUMBER(G97)),G97&lt;=0),"Quantidade ausente ou inválida",""))))))))</x:f>
      </x:c>
      <x:c r="P97" s="163" t="n">
        <x:f>IF(O97="",0,1)</x:f>
        <x:v>0</x:v>
      </x:c>
      <x:c r="Q97" s="163" t="n">
        <x:f>IF(COUNTA(A97:D97,G97,K97:N97)=0,0,IF(OR(Listas!$B$19="Todos",E97=Listas!$B$19,E97="",COUNTIFS(Lotes!$A$5:$A$204,D97)&lt;&gt;1),1,0))</x:f>
        <x:v>0</x:v>
      </x:c>
      <x:c r="R97" s="1"/>
      <x:c r="S97" s="1"/>
      <x:c r="T97" s="1"/>
      <x:c r="U97" s="1"/>
      <x:c r="V97" s="1"/>
      <x:c r="W97" s="1"/>
    </x:row>
    <x:row r="98" ht="32" customHeight="1">
      <x:c r="A98" s="170"/>
      <x:c r="B98" s="179"/>
      <x:c r="C98" s="170"/>
      <x:c r="D98" s="170"/>
      <x:c r="E98" s="40" t="str">
        <x:f>IF($D98="","",IFERROR(INDEX(Lotes!$B$5:$B$204,MATCH($D98,Lotes!$A$5:$A$204,0)),""))</x:f>
      </x:c>
      <x:c r="F98" s="40" t="str">
        <x:f>IF($D98="","",IFERROR(INDEX(Lotes!$C$5:$C$204,MATCH($D98,Lotes!$A$5:$A$204,0)),""))</x:f>
      </x:c>
      <x:c r="G98" s="27"/>
      <x:c r="H98" s="40" t="str">
        <x:f>IF(A98="","",IF(O98&lt;&gt;"","n.a.",IF(OR(C98="Saída",C98="Perda",C98="Ajuste negativo"),-G98,G98)))</x:f>
      </x:c>
      <x:c r="I98" s="181" t="str">
        <x:f>IF($D98="","",IFERROR(INDEX(Lotes!$K$5:$K$204,MATCH($D98,Lotes!$A$5:$A$204,0)),0))</x:f>
      </x:c>
      <x:c r="J98" s="181" t="str">
        <x:f>IF(A98="","",IF(O98&lt;&gt;"","n.a.",ABS(H98)*I98))</x:f>
      </x:c>
      <x:c r="K98" s="27"/>
      <x:c r="L98" s="27"/>
      <x:c r="M98" s="27"/>
      <x:c r="N98" s="27"/>
      <x:c r="O98" s="163" t="str">
        <x:f>IF(COUNTA(A98:D98,G98,K98:N98)=0,"",IF(OR(A98="",COUNTIFS($A$5:$A$304,A98)&lt;&gt;1),"ID ausente ou duplicado",IF(OR(NOT(ISNUMBER(B98)),B98&lt;=0),"Data ausente ou inválida",IF(AND(C98&lt;&gt;"Entrada",C98&lt;&gt;"Saída",C98&lt;&gt;"Perda",C98&lt;&gt;"Ajuste positivo",C98&lt;&gt;"Ajuste negativo"),"Tipo de movimento inválido",IF(OR(D98="",COUNTIFS(Lotes!$A$5:$A$204,D98)&lt;&gt;1),"Lote ausente ou desconhecido",IF(COUNTIFS(Lotes!$A$5:$A$204,D98,Lotes!$S$5:$S$204,"?*")&gt;0,"Revisar cadastro do lote",IF(B98&lt;INDEX(Lotes!$E$5:$E$204,MATCH(D98,Lotes!$A$5:$A$204,0)),"Movimento anterior ao recebimento",IF(OR(NOT(ISNUMBER(G98)),G98&lt;=0),"Quantidade ausente ou inválida",""))))))))</x:f>
      </x:c>
      <x:c r="P98" s="163" t="n">
        <x:f>IF(O98="",0,1)</x:f>
        <x:v>0</x:v>
      </x:c>
      <x:c r="Q98" s="163" t="n">
        <x:f>IF(COUNTA(A98:D98,G98,K98:N98)=0,0,IF(OR(Listas!$B$19="Todos",E98=Listas!$B$19,E98="",COUNTIFS(Lotes!$A$5:$A$204,D98)&lt;&gt;1),1,0))</x:f>
        <x:v>0</x:v>
      </x:c>
      <x:c r="R98" s="1"/>
      <x:c r="S98" s="1"/>
      <x:c r="T98" s="1"/>
      <x:c r="U98" s="1"/>
      <x:c r="V98" s="1"/>
      <x:c r="W98" s="1"/>
    </x:row>
    <x:row r="99" ht="32" customHeight="1">
      <x:c r="A99" s="170"/>
      <x:c r="B99" s="179"/>
      <x:c r="C99" s="170"/>
      <x:c r="D99" s="170"/>
      <x:c r="E99" s="40" t="str">
        <x:f>IF($D99="","",IFERROR(INDEX(Lotes!$B$5:$B$204,MATCH($D99,Lotes!$A$5:$A$204,0)),""))</x:f>
      </x:c>
      <x:c r="F99" s="40" t="str">
        <x:f>IF($D99="","",IFERROR(INDEX(Lotes!$C$5:$C$204,MATCH($D99,Lotes!$A$5:$A$204,0)),""))</x:f>
      </x:c>
      <x:c r="G99" s="27"/>
      <x:c r="H99" s="40" t="str">
        <x:f>IF(A99="","",IF(O99&lt;&gt;"","n.a.",IF(OR(C99="Saída",C99="Perda",C99="Ajuste negativo"),-G99,G99)))</x:f>
      </x:c>
      <x:c r="I99" s="181" t="str">
        <x:f>IF($D99="","",IFERROR(INDEX(Lotes!$K$5:$K$204,MATCH($D99,Lotes!$A$5:$A$204,0)),0))</x:f>
      </x:c>
      <x:c r="J99" s="181" t="str">
        <x:f>IF(A99="","",IF(O99&lt;&gt;"","n.a.",ABS(H99)*I99))</x:f>
      </x:c>
      <x:c r="K99" s="27"/>
      <x:c r="L99" s="27"/>
      <x:c r="M99" s="27"/>
      <x:c r="N99" s="27"/>
      <x:c r="O99" s="163" t="str">
        <x:f>IF(COUNTA(A99:D99,G99,K99:N99)=0,"",IF(OR(A99="",COUNTIFS($A$5:$A$304,A99)&lt;&gt;1),"ID ausente ou duplicado",IF(OR(NOT(ISNUMBER(B99)),B99&lt;=0),"Data ausente ou inválida",IF(AND(C99&lt;&gt;"Entrada",C99&lt;&gt;"Saída",C99&lt;&gt;"Perda",C99&lt;&gt;"Ajuste positivo",C99&lt;&gt;"Ajuste negativo"),"Tipo de movimento inválido",IF(OR(D99="",COUNTIFS(Lotes!$A$5:$A$204,D99)&lt;&gt;1),"Lote ausente ou desconhecido",IF(COUNTIFS(Lotes!$A$5:$A$204,D99,Lotes!$S$5:$S$204,"?*")&gt;0,"Revisar cadastro do lote",IF(B99&lt;INDEX(Lotes!$E$5:$E$204,MATCH(D99,Lotes!$A$5:$A$204,0)),"Movimento anterior ao recebimento",IF(OR(NOT(ISNUMBER(G99)),G99&lt;=0),"Quantidade ausente ou inválida",""))))))))</x:f>
      </x:c>
      <x:c r="P99" s="163" t="n">
        <x:f>IF(O99="",0,1)</x:f>
        <x:v>0</x:v>
      </x:c>
      <x:c r="Q99" s="163" t="n">
        <x:f>IF(COUNTA(A99:D99,G99,K99:N99)=0,0,IF(OR(Listas!$B$19="Todos",E99=Listas!$B$19,E99="",COUNTIFS(Lotes!$A$5:$A$204,D99)&lt;&gt;1),1,0))</x:f>
        <x:v>0</x:v>
      </x:c>
      <x:c r="R99" s="1"/>
      <x:c r="S99" s="1"/>
      <x:c r="T99" s="1"/>
      <x:c r="U99" s="1"/>
      <x:c r="V99" s="1"/>
      <x:c r="W99" s="1"/>
    </x:row>
    <x:row r="100" ht="32" customHeight="1">
      <x:c r="A100" s="170"/>
      <x:c r="B100" s="179"/>
      <x:c r="C100" s="170"/>
      <x:c r="D100" s="170"/>
      <x:c r="E100" s="40" t="str">
        <x:f>IF($D100="","",IFERROR(INDEX(Lotes!$B$5:$B$204,MATCH($D100,Lotes!$A$5:$A$204,0)),""))</x:f>
      </x:c>
      <x:c r="F100" s="40" t="str">
        <x:f>IF($D100="","",IFERROR(INDEX(Lotes!$C$5:$C$204,MATCH($D100,Lotes!$A$5:$A$204,0)),""))</x:f>
      </x:c>
      <x:c r="G100" s="27"/>
      <x:c r="H100" s="40" t="str">
        <x:f>IF(A100="","",IF(O100&lt;&gt;"","n.a.",IF(OR(C100="Saída",C100="Perda",C100="Ajuste negativo"),-G100,G100)))</x:f>
      </x:c>
      <x:c r="I100" s="181" t="str">
        <x:f>IF($D100="","",IFERROR(INDEX(Lotes!$K$5:$K$204,MATCH($D100,Lotes!$A$5:$A$204,0)),0))</x:f>
      </x:c>
      <x:c r="J100" s="181" t="str">
        <x:f>IF(A100="","",IF(O100&lt;&gt;"","n.a.",ABS(H100)*I100))</x:f>
      </x:c>
      <x:c r="K100" s="27"/>
      <x:c r="L100" s="27"/>
      <x:c r="M100" s="27"/>
      <x:c r="N100" s="27"/>
      <x:c r="O100" s="163" t="str">
        <x:f>IF(COUNTA(A100:D100,G100,K100:N100)=0,"",IF(OR(A100="",COUNTIFS($A$5:$A$304,A100)&lt;&gt;1),"ID ausente ou duplicado",IF(OR(NOT(ISNUMBER(B100)),B100&lt;=0),"Data ausente ou inválida",IF(AND(C100&lt;&gt;"Entrada",C100&lt;&gt;"Saída",C100&lt;&gt;"Perda",C100&lt;&gt;"Ajuste positivo",C100&lt;&gt;"Ajuste negativo"),"Tipo de movimento inválido",IF(OR(D100="",COUNTIFS(Lotes!$A$5:$A$204,D100)&lt;&gt;1),"Lote ausente ou desconhecido",IF(COUNTIFS(Lotes!$A$5:$A$204,D100,Lotes!$S$5:$S$204,"?*")&gt;0,"Revisar cadastro do lote",IF(B100&lt;INDEX(Lotes!$E$5:$E$204,MATCH(D100,Lotes!$A$5:$A$204,0)),"Movimento anterior ao recebimento",IF(OR(NOT(ISNUMBER(G100)),G100&lt;=0),"Quantidade ausente ou inválida",""))))))))</x:f>
      </x:c>
      <x:c r="P100" s="163" t="n">
        <x:f>IF(O100="",0,1)</x:f>
        <x:v>0</x:v>
      </x:c>
      <x:c r="Q100" s="163" t="n">
        <x:f>IF(COUNTA(A100:D100,G100,K100:N100)=0,0,IF(OR(Listas!$B$19="Todos",E100=Listas!$B$19,E100="",COUNTIFS(Lotes!$A$5:$A$204,D100)&lt;&gt;1),1,0))</x:f>
        <x:v>0</x:v>
      </x:c>
      <x:c r="R100" s="1"/>
      <x:c r="S100" s="1"/>
      <x:c r="T100" s="1"/>
      <x:c r="U100" s="1"/>
      <x:c r="V100" s="1"/>
      <x:c r="W100" s="1"/>
    </x:row>
    <x:row r="101" ht="32" customHeight="1">
      <x:c r="A101" s="170"/>
      <x:c r="B101" s="179"/>
      <x:c r="C101" s="170"/>
      <x:c r="D101" s="170"/>
      <x:c r="E101" s="40" t="str">
        <x:f>IF($D101="","",IFERROR(INDEX(Lotes!$B$5:$B$204,MATCH($D101,Lotes!$A$5:$A$204,0)),""))</x:f>
      </x:c>
      <x:c r="F101" s="40" t="str">
        <x:f>IF($D101="","",IFERROR(INDEX(Lotes!$C$5:$C$204,MATCH($D101,Lotes!$A$5:$A$204,0)),""))</x:f>
      </x:c>
      <x:c r="G101" s="27"/>
      <x:c r="H101" s="40" t="str">
        <x:f>IF(A101="","",IF(O101&lt;&gt;"","n.a.",IF(OR(C101="Saída",C101="Perda",C101="Ajuste negativo"),-G101,G101)))</x:f>
      </x:c>
      <x:c r="I101" s="181" t="str">
        <x:f>IF($D101="","",IFERROR(INDEX(Lotes!$K$5:$K$204,MATCH($D101,Lotes!$A$5:$A$204,0)),0))</x:f>
      </x:c>
      <x:c r="J101" s="181" t="str">
        <x:f>IF(A101="","",IF(O101&lt;&gt;"","n.a.",ABS(H101)*I101))</x:f>
      </x:c>
      <x:c r="K101" s="27"/>
      <x:c r="L101" s="27"/>
      <x:c r="M101" s="27"/>
      <x:c r="N101" s="27"/>
      <x:c r="O101" s="163" t="str">
        <x:f>IF(COUNTA(A101:D101,G101,K101:N101)=0,"",IF(OR(A101="",COUNTIFS($A$5:$A$304,A101)&lt;&gt;1),"ID ausente ou duplicado",IF(OR(NOT(ISNUMBER(B101)),B101&lt;=0),"Data ausente ou inválida",IF(AND(C101&lt;&gt;"Entrada",C101&lt;&gt;"Saída",C101&lt;&gt;"Perda",C101&lt;&gt;"Ajuste positivo",C101&lt;&gt;"Ajuste negativo"),"Tipo de movimento inválido",IF(OR(D101="",COUNTIFS(Lotes!$A$5:$A$204,D101)&lt;&gt;1),"Lote ausente ou desconhecido",IF(COUNTIFS(Lotes!$A$5:$A$204,D101,Lotes!$S$5:$S$204,"?*")&gt;0,"Revisar cadastro do lote",IF(B101&lt;INDEX(Lotes!$E$5:$E$204,MATCH(D101,Lotes!$A$5:$A$204,0)),"Movimento anterior ao recebimento",IF(OR(NOT(ISNUMBER(G101)),G101&lt;=0),"Quantidade ausente ou inválida",""))))))))</x:f>
      </x:c>
      <x:c r="P101" s="163" t="n">
        <x:f>IF(O101="",0,1)</x:f>
        <x:v>0</x:v>
      </x:c>
      <x:c r="Q101" s="163" t="n">
        <x:f>IF(COUNTA(A101:D101,G101,K101:N101)=0,0,IF(OR(Listas!$B$19="Todos",E101=Listas!$B$19,E101="",COUNTIFS(Lotes!$A$5:$A$204,D101)&lt;&gt;1),1,0))</x:f>
        <x:v>0</x:v>
      </x:c>
      <x:c r="R101" s="1"/>
      <x:c r="S101" s="1"/>
      <x:c r="T101" s="1"/>
      <x:c r="U101" s="1"/>
      <x:c r="V101" s="1"/>
      <x:c r="W101" s="1"/>
    </x:row>
    <x:row r="102" ht="32" customHeight="1">
      <x:c r="A102" s="170"/>
      <x:c r="B102" s="179"/>
      <x:c r="C102" s="170"/>
      <x:c r="D102" s="170"/>
      <x:c r="E102" s="40" t="str">
        <x:f>IF($D102="","",IFERROR(INDEX(Lotes!$B$5:$B$204,MATCH($D102,Lotes!$A$5:$A$204,0)),""))</x:f>
      </x:c>
      <x:c r="F102" s="40" t="str">
        <x:f>IF($D102="","",IFERROR(INDEX(Lotes!$C$5:$C$204,MATCH($D102,Lotes!$A$5:$A$204,0)),""))</x:f>
      </x:c>
      <x:c r="G102" s="27"/>
      <x:c r="H102" s="40" t="str">
        <x:f>IF(A102="","",IF(O102&lt;&gt;"","n.a.",IF(OR(C102="Saída",C102="Perda",C102="Ajuste negativo"),-G102,G102)))</x:f>
      </x:c>
      <x:c r="I102" s="181" t="str">
        <x:f>IF($D102="","",IFERROR(INDEX(Lotes!$K$5:$K$204,MATCH($D102,Lotes!$A$5:$A$204,0)),0))</x:f>
      </x:c>
      <x:c r="J102" s="181" t="str">
        <x:f>IF(A102="","",IF(O102&lt;&gt;"","n.a.",ABS(H102)*I102))</x:f>
      </x:c>
      <x:c r="K102" s="27"/>
      <x:c r="L102" s="27"/>
      <x:c r="M102" s="27"/>
      <x:c r="N102" s="27"/>
      <x:c r="O102" s="163" t="str">
        <x:f>IF(COUNTA(A102:D102,G102,K102:N102)=0,"",IF(OR(A102="",COUNTIFS($A$5:$A$304,A102)&lt;&gt;1),"ID ausente ou duplicado",IF(OR(NOT(ISNUMBER(B102)),B102&lt;=0),"Data ausente ou inválida",IF(AND(C102&lt;&gt;"Entrada",C102&lt;&gt;"Saída",C102&lt;&gt;"Perda",C102&lt;&gt;"Ajuste positivo",C102&lt;&gt;"Ajuste negativo"),"Tipo de movimento inválido",IF(OR(D102="",COUNTIFS(Lotes!$A$5:$A$204,D102)&lt;&gt;1),"Lote ausente ou desconhecido",IF(COUNTIFS(Lotes!$A$5:$A$204,D102,Lotes!$S$5:$S$204,"?*")&gt;0,"Revisar cadastro do lote",IF(B102&lt;INDEX(Lotes!$E$5:$E$204,MATCH(D102,Lotes!$A$5:$A$204,0)),"Movimento anterior ao recebimento",IF(OR(NOT(ISNUMBER(G102)),G102&lt;=0),"Quantidade ausente ou inválida",""))))))))</x:f>
      </x:c>
      <x:c r="P102" s="163" t="n">
        <x:f>IF(O102="",0,1)</x:f>
        <x:v>0</x:v>
      </x:c>
      <x:c r="Q102" s="163" t="n">
        <x:f>IF(COUNTA(A102:D102,G102,K102:N102)=0,0,IF(OR(Listas!$B$19="Todos",E102=Listas!$B$19,E102="",COUNTIFS(Lotes!$A$5:$A$204,D102)&lt;&gt;1),1,0))</x:f>
        <x:v>0</x:v>
      </x:c>
      <x:c r="R102" s="1"/>
      <x:c r="S102" s="1"/>
      <x:c r="T102" s="1"/>
      <x:c r="U102" s="1"/>
      <x:c r="V102" s="1"/>
      <x:c r="W102" s="1"/>
    </x:row>
    <x:row r="103" ht="32" customHeight="1">
      <x:c r="A103" s="170"/>
      <x:c r="B103" s="179"/>
      <x:c r="C103" s="170"/>
      <x:c r="D103" s="170"/>
      <x:c r="E103" s="40" t="str">
        <x:f>IF($D103="","",IFERROR(INDEX(Lotes!$B$5:$B$204,MATCH($D103,Lotes!$A$5:$A$204,0)),""))</x:f>
      </x:c>
      <x:c r="F103" s="40" t="str">
        <x:f>IF($D103="","",IFERROR(INDEX(Lotes!$C$5:$C$204,MATCH($D103,Lotes!$A$5:$A$204,0)),""))</x:f>
      </x:c>
      <x:c r="G103" s="27"/>
      <x:c r="H103" s="40" t="str">
        <x:f>IF(A103="","",IF(O103&lt;&gt;"","n.a.",IF(OR(C103="Saída",C103="Perda",C103="Ajuste negativo"),-G103,G103)))</x:f>
      </x:c>
      <x:c r="I103" s="181" t="str">
        <x:f>IF($D103="","",IFERROR(INDEX(Lotes!$K$5:$K$204,MATCH($D103,Lotes!$A$5:$A$204,0)),0))</x:f>
      </x:c>
      <x:c r="J103" s="181" t="str">
        <x:f>IF(A103="","",IF(O103&lt;&gt;"","n.a.",ABS(H103)*I103))</x:f>
      </x:c>
      <x:c r="K103" s="27"/>
      <x:c r="L103" s="27"/>
      <x:c r="M103" s="27"/>
      <x:c r="N103" s="27"/>
      <x:c r="O103" s="163" t="str">
        <x:f>IF(COUNTA(A103:D103,G103,K103:N103)=0,"",IF(OR(A103="",COUNTIFS($A$5:$A$304,A103)&lt;&gt;1),"ID ausente ou duplicado",IF(OR(NOT(ISNUMBER(B103)),B103&lt;=0),"Data ausente ou inválida",IF(AND(C103&lt;&gt;"Entrada",C103&lt;&gt;"Saída",C103&lt;&gt;"Perda",C103&lt;&gt;"Ajuste positivo",C103&lt;&gt;"Ajuste negativo"),"Tipo de movimento inválido",IF(OR(D103="",COUNTIFS(Lotes!$A$5:$A$204,D103)&lt;&gt;1),"Lote ausente ou desconhecido",IF(COUNTIFS(Lotes!$A$5:$A$204,D103,Lotes!$S$5:$S$204,"?*")&gt;0,"Revisar cadastro do lote",IF(B103&lt;INDEX(Lotes!$E$5:$E$204,MATCH(D103,Lotes!$A$5:$A$204,0)),"Movimento anterior ao recebimento",IF(OR(NOT(ISNUMBER(G103)),G103&lt;=0),"Quantidade ausente ou inválida",""))))))))</x:f>
      </x:c>
      <x:c r="P103" s="163" t="n">
        <x:f>IF(O103="",0,1)</x:f>
        <x:v>0</x:v>
      </x:c>
      <x:c r="Q103" s="163" t="n">
        <x:f>IF(COUNTA(A103:D103,G103,K103:N103)=0,0,IF(OR(Listas!$B$19="Todos",E103=Listas!$B$19,E103="",COUNTIFS(Lotes!$A$5:$A$204,D103)&lt;&gt;1),1,0))</x:f>
        <x:v>0</x:v>
      </x:c>
      <x:c r="R103" s="1"/>
      <x:c r="S103" s="1"/>
      <x:c r="T103" s="1"/>
      <x:c r="U103" s="1"/>
      <x:c r="V103" s="1"/>
      <x:c r="W103" s="1"/>
    </x:row>
    <x:row r="104" ht="32" customHeight="1">
      <x:c r="A104" s="170"/>
      <x:c r="B104" s="179"/>
      <x:c r="C104" s="170"/>
      <x:c r="D104" s="170"/>
      <x:c r="E104" s="40" t="str">
        <x:f>IF($D104="","",IFERROR(INDEX(Lotes!$B$5:$B$204,MATCH($D104,Lotes!$A$5:$A$204,0)),""))</x:f>
      </x:c>
      <x:c r="F104" s="40" t="str">
        <x:f>IF($D104="","",IFERROR(INDEX(Lotes!$C$5:$C$204,MATCH($D104,Lotes!$A$5:$A$204,0)),""))</x:f>
      </x:c>
      <x:c r="G104" s="27"/>
      <x:c r="H104" s="40" t="str">
        <x:f>IF(A104="","",IF(O104&lt;&gt;"","n.a.",IF(OR(C104="Saída",C104="Perda",C104="Ajuste negativo"),-G104,G104)))</x:f>
      </x:c>
      <x:c r="I104" s="181" t="str">
        <x:f>IF($D104="","",IFERROR(INDEX(Lotes!$K$5:$K$204,MATCH($D104,Lotes!$A$5:$A$204,0)),0))</x:f>
      </x:c>
      <x:c r="J104" s="181" t="str">
        <x:f>IF(A104="","",IF(O104&lt;&gt;"","n.a.",ABS(H104)*I104))</x:f>
      </x:c>
      <x:c r="K104" s="27"/>
      <x:c r="L104" s="27"/>
      <x:c r="M104" s="27"/>
      <x:c r="N104" s="27"/>
      <x:c r="O104" s="163" t="str">
        <x:f>IF(COUNTA(A104:D104,G104,K104:N104)=0,"",IF(OR(A104="",COUNTIFS($A$5:$A$304,A104)&lt;&gt;1),"ID ausente ou duplicado",IF(OR(NOT(ISNUMBER(B104)),B104&lt;=0),"Data ausente ou inválida",IF(AND(C104&lt;&gt;"Entrada",C104&lt;&gt;"Saída",C104&lt;&gt;"Perda",C104&lt;&gt;"Ajuste positivo",C104&lt;&gt;"Ajuste negativo"),"Tipo de movimento inválido",IF(OR(D104="",COUNTIFS(Lotes!$A$5:$A$204,D104)&lt;&gt;1),"Lote ausente ou desconhecido",IF(COUNTIFS(Lotes!$A$5:$A$204,D104,Lotes!$S$5:$S$204,"?*")&gt;0,"Revisar cadastro do lote",IF(B104&lt;INDEX(Lotes!$E$5:$E$204,MATCH(D104,Lotes!$A$5:$A$204,0)),"Movimento anterior ao recebimento",IF(OR(NOT(ISNUMBER(G104)),G104&lt;=0),"Quantidade ausente ou inválida",""))))))))</x:f>
      </x:c>
      <x:c r="P104" s="163" t="n">
        <x:f>IF(O104="",0,1)</x:f>
        <x:v>0</x:v>
      </x:c>
      <x:c r="Q104" s="163" t="n">
        <x:f>IF(COUNTA(A104:D104,G104,K104:N104)=0,0,IF(OR(Listas!$B$19="Todos",E104=Listas!$B$19,E104="",COUNTIFS(Lotes!$A$5:$A$204,D104)&lt;&gt;1),1,0))</x:f>
        <x:v>0</x:v>
      </x:c>
      <x:c r="R104" s="1"/>
      <x:c r="S104" s="1"/>
      <x:c r="T104" s="1"/>
      <x:c r="U104" s="1"/>
      <x:c r="V104" s="1"/>
      <x:c r="W104" s="1"/>
    </x:row>
    <x:row r="105" ht="32" customHeight="1">
      <x:c r="A105" s="170"/>
      <x:c r="B105" s="179"/>
      <x:c r="C105" s="170"/>
      <x:c r="D105" s="170"/>
      <x:c r="E105" s="40" t="str">
        <x:f>IF($D105="","",IFERROR(INDEX(Lotes!$B$5:$B$204,MATCH($D105,Lotes!$A$5:$A$204,0)),""))</x:f>
      </x:c>
      <x:c r="F105" s="40" t="str">
        <x:f>IF($D105="","",IFERROR(INDEX(Lotes!$C$5:$C$204,MATCH($D105,Lotes!$A$5:$A$204,0)),""))</x:f>
      </x:c>
      <x:c r="G105" s="27"/>
      <x:c r="H105" s="40" t="str">
        <x:f>IF(A105="","",IF(O105&lt;&gt;"","n.a.",IF(OR(C105="Saída",C105="Perda",C105="Ajuste negativo"),-G105,G105)))</x:f>
      </x:c>
      <x:c r="I105" s="181" t="str">
        <x:f>IF($D105="","",IFERROR(INDEX(Lotes!$K$5:$K$204,MATCH($D105,Lotes!$A$5:$A$204,0)),0))</x:f>
      </x:c>
      <x:c r="J105" s="181" t="str">
        <x:f>IF(A105="","",IF(O105&lt;&gt;"","n.a.",ABS(H105)*I105))</x:f>
      </x:c>
      <x:c r="K105" s="27"/>
      <x:c r="L105" s="27"/>
      <x:c r="M105" s="27"/>
      <x:c r="N105" s="27"/>
      <x:c r="O105" s="163" t="str">
        <x:f>IF(COUNTA(A105:D105,G105,K105:N105)=0,"",IF(OR(A105="",COUNTIFS($A$5:$A$304,A105)&lt;&gt;1),"ID ausente ou duplicado",IF(OR(NOT(ISNUMBER(B105)),B105&lt;=0),"Data ausente ou inválida",IF(AND(C105&lt;&gt;"Entrada",C105&lt;&gt;"Saída",C105&lt;&gt;"Perda",C105&lt;&gt;"Ajuste positivo",C105&lt;&gt;"Ajuste negativo"),"Tipo de movimento inválido",IF(OR(D105="",COUNTIFS(Lotes!$A$5:$A$204,D105)&lt;&gt;1),"Lote ausente ou desconhecido",IF(COUNTIFS(Lotes!$A$5:$A$204,D105,Lotes!$S$5:$S$204,"?*")&gt;0,"Revisar cadastro do lote",IF(B105&lt;INDEX(Lotes!$E$5:$E$204,MATCH(D105,Lotes!$A$5:$A$204,0)),"Movimento anterior ao recebimento",IF(OR(NOT(ISNUMBER(G105)),G105&lt;=0),"Quantidade ausente ou inválida",""))))))))</x:f>
      </x:c>
      <x:c r="P105" s="163" t="n">
        <x:f>IF(O105="",0,1)</x:f>
        <x:v>0</x:v>
      </x:c>
      <x:c r="Q105" s="163" t="n">
        <x:f>IF(COUNTA(A105:D105,G105,K105:N105)=0,0,IF(OR(Listas!$B$19="Todos",E105=Listas!$B$19,E105="",COUNTIFS(Lotes!$A$5:$A$204,D105)&lt;&gt;1),1,0))</x:f>
        <x:v>0</x:v>
      </x:c>
      <x:c r="R105" s="1"/>
      <x:c r="S105" s="1"/>
      <x:c r="T105" s="1"/>
      <x:c r="U105" s="1"/>
      <x:c r="V105" s="1"/>
      <x:c r="W105" s="1"/>
    </x:row>
    <x:row r="106" ht="32" customHeight="1">
      <x:c r="A106" s="170"/>
      <x:c r="B106" s="179"/>
      <x:c r="C106" s="170"/>
      <x:c r="D106" s="170"/>
      <x:c r="E106" s="40" t="str">
        <x:f>IF($D106="","",IFERROR(INDEX(Lotes!$B$5:$B$204,MATCH($D106,Lotes!$A$5:$A$204,0)),""))</x:f>
      </x:c>
      <x:c r="F106" s="40" t="str">
        <x:f>IF($D106="","",IFERROR(INDEX(Lotes!$C$5:$C$204,MATCH($D106,Lotes!$A$5:$A$204,0)),""))</x:f>
      </x:c>
      <x:c r="G106" s="27"/>
      <x:c r="H106" s="40" t="str">
        <x:f>IF(A106="","",IF(O106&lt;&gt;"","n.a.",IF(OR(C106="Saída",C106="Perda",C106="Ajuste negativo"),-G106,G106)))</x:f>
      </x:c>
      <x:c r="I106" s="181" t="str">
        <x:f>IF($D106="","",IFERROR(INDEX(Lotes!$K$5:$K$204,MATCH($D106,Lotes!$A$5:$A$204,0)),0))</x:f>
      </x:c>
      <x:c r="J106" s="181" t="str">
        <x:f>IF(A106="","",IF(O106&lt;&gt;"","n.a.",ABS(H106)*I106))</x:f>
      </x:c>
      <x:c r="K106" s="27"/>
      <x:c r="L106" s="27"/>
      <x:c r="M106" s="27"/>
      <x:c r="N106" s="27"/>
      <x:c r="O106" s="163" t="str">
        <x:f>IF(COUNTA(A106:D106,G106,K106:N106)=0,"",IF(OR(A106="",COUNTIFS($A$5:$A$304,A106)&lt;&gt;1),"ID ausente ou duplicado",IF(OR(NOT(ISNUMBER(B106)),B106&lt;=0),"Data ausente ou inválida",IF(AND(C106&lt;&gt;"Entrada",C106&lt;&gt;"Saída",C106&lt;&gt;"Perda",C106&lt;&gt;"Ajuste positivo",C106&lt;&gt;"Ajuste negativo"),"Tipo de movimento inválido",IF(OR(D106="",COUNTIFS(Lotes!$A$5:$A$204,D106)&lt;&gt;1),"Lote ausente ou desconhecido",IF(COUNTIFS(Lotes!$A$5:$A$204,D106,Lotes!$S$5:$S$204,"?*")&gt;0,"Revisar cadastro do lote",IF(B106&lt;INDEX(Lotes!$E$5:$E$204,MATCH(D106,Lotes!$A$5:$A$204,0)),"Movimento anterior ao recebimento",IF(OR(NOT(ISNUMBER(G106)),G106&lt;=0),"Quantidade ausente ou inválida",""))))))))</x:f>
      </x:c>
      <x:c r="P106" s="163" t="n">
        <x:f>IF(O106="",0,1)</x:f>
        <x:v>0</x:v>
      </x:c>
      <x:c r="Q106" s="163" t="n">
        <x:f>IF(COUNTA(A106:D106,G106,K106:N106)=0,0,IF(OR(Listas!$B$19="Todos",E106=Listas!$B$19,E106="",COUNTIFS(Lotes!$A$5:$A$204,D106)&lt;&gt;1),1,0))</x:f>
        <x:v>0</x:v>
      </x:c>
      <x:c r="R106" s="1"/>
      <x:c r="S106" s="1"/>
      <x:c r="T106" s="1"/>
      <x:c r="U106" s="1"/>
      <x:c r="V106" s="1"/>
      <x:c r="W106" s="1"/>
    </x:row>
    <x:row r="107" ht="32" customHeight="1">
      <x:c r="A107" s="170"/>
      <x:c r="B107" s="179"/>
      <x:c r="C107" s="170"/>
      <x:c r="D107" s="170"/>
      <x:c r="E107" s="40" t="str">
        <x:f>IF($D107="","",IFERROR(INDEX(Lotes!$B$5:$B$204,MATCH($D107,Lotes!$A$5:$A$204,0)),""))</x:f>
      </x:c>
      <x:c r="F107" s="40" t="str">
        <x:f>IF($D107="","",IFERROR(INDEX(Lotes!$C$5:$C$204,MATCH($D107,Lotes!$A$5:$A$204,0)),""))</x:f>
      </x:c>
      <x:c r="G107" s="27"/>
      <x:c r="H107" s="40" t="str">
        <x:f>IF(A107="","",IF(O107&lt;&gt;"","n.a.",IF(OR(C107="Saída",C107="Perda",C107="Ajuste negativo"),-G107,G107)))</x:f>
      </x:c>
      <x:c r="I107" s="181" t="str">
        <x:f>IF($D107="","",IFERROR(INDEX(Lotes!$K$5:$K$204,MATCH($D107,Lotes!$A$5:$A$204,0)),0))</x:f>
      </x:c>
      <x:c r="J107" s="181" t="str">
        <x:f>IF(A107="","",IF(O107&lt;&gt;"","n.a.",ABS(H107)*I107))</x:f>
      </x:c>
      <x:c r="K107" s="27"/>
      <x:c r="L107" s="27"/>
      <x:c r="M107" s="27"/>
      <x:c r="N107" s="27"/>
      <x:c r="O107" s="163" t="str">
        <x:f>IF(COUNTA(A107:D107,G107,K107:N107)=0,"",IF(OR(A107="",COUNTIFS($A$5:$A$304,A107)&lt;&gt;1),"ID ausente ou duplicado",IF(OR(NOT(ISNUMBER(B107)),B107&lt;=0),"Data ausente ou inválida",IF(AND(C107&lt;&gt;"Entrada",C107&lt;&gt;"Saída",C107&lt;&gt;"Perda",C107&lt;&gt;"Ajuste positivo",C107&lt;&gt;"Ajuste negativo"),"Tipo de movimento inválido",IF(OR(D107="",COUNTIFS(Lotes!$A$5:$A$204,D107)&lt;&gt;1),"Lote ausente ou desconhecido",IF(COUNTIFS(Lotes!$A$5:$A$204,D107,Lotes!$S$5:$S$204,"?*")&gt;0,"Revisar cadastro do lote",IF(B107&lt;INDEX(Lotes!$E$5:$E$204,MATCH(D107,Lotes!$A$5:$A$204,0)),"Movimento anterior ao recebimento",IF(OR(NOT(ISNUMBER(G107)),G107&lt;=0),"Quantidade ausente ou inválida",""))))))))</x:f>
      </x:c>
      <x:c r="P107" s="163" t="n">
        <x:f>IF(O107="",0,1)</x:f>
        <x:v>0</x:v>
      </x:c>
      <x:c r="Q107" s="163" t="n">
        <x:f>IF(COUNTA(A107:D107,G107,K107:N107)=0,0,IF(OR(Listas!$B$19="Todos",E107=Listas!$B$19,E107="",COUNTIFS(Lotes!$A$5:$A$204,D107)&lt;&gt;1),1,0))</x:f>
        <x:v>0</x:v>
      </x:c>
      <x:c r="R107" s="1"/>
      <x:c r="S107" s="1"/>
      <x:c r="T107" s="1"/>
      <x:c r="U107" s="1"/>
      <x:c r="V107" s="1"/>
      <x:c r="W107" s="1"/>
    </x:row>
    <x:row r="108" ht="32" customHeight="1">
      <x:c r="A108" s="170"/>
      <x:c r="B108" s="179"/>
      <x:c r="C108" s="170"/>
      <x:c r="D108" s="170"/>
      <x:c r="E108" s="40" t="str">
        <x:f>IF($D108="","",IFERROR(INDEX(Lotes!$B$5:$B$204,MATCH($D108,Lotes!$A$5:$A$204,0)),""))</x:f>
      </x:c>
      <x:c r="F108" s="40" t="str">
        <x:f>IF($D108="","",IFERROR(INDEX(Lotes!$C$5:$C$204,MATCH($D108,Lotes!$A$5:$A$204,0)),""))</x:f>
      </x:c>
      <x:c r="G108" s="27"/>
      <x:c r="H108" s="40" t="str">
        <x:f>IF(A108="","",IF(O108&lt;&gt;"","n.a.",IF(OR(C108="Saída",C108="Perda",C108="Ajuste negativo"),-G108,G108)))</x:f>
      </x:c>
      <x:c r="I108" s="181" t="str">
        <x:f>IF($D108="","",IFERROR(INDEX(Lotes!$K$5:$K$204,MATCH($D108,Lotes!$A$5:$A$204,0)),0))</x:f>
      </x:c>
      <x:c r="J108" s="181" t="str">
        <x:f>IF(A108="","",IF(O108&lt;&gt;"","n.a.",ABS(H108)*I108))</x:f>
      </x:c>
      <x:c r="K108" s="27"/>
      <x:c r="L108" s="27"/>
      <x:c r="M108" s="27"/>
      <x:c r="N108" s="27"/>
      <x:c r="O108" s="163" t="str">
        <x:f>IF(COUNTA(A108:D108,G108,K108:N108)=0,"",IF(OR(A108="",COUNTIFS($A$5:$A$304,A108)&lt;&gt;1),"ID ausente ou duplicado",IF(OR(NOT(ISNUMBER(B108)),B108&lt;=0),"Data ausente ou inválida",IF(AND(C108&lt;&gt;"Entrada",C108&lt;&gt;"Saída",C108&lt;&gt;"Perda",C108&lt;&gt;"Ajuste positivo",C108&lt;&gt;"Ajuste negativo"),"Tipo de movimento inválido",IF(OR(D108="",COUNTIFS(Lotes!$A$5:$A$204,D108)&lt;&gt;1),"Lote ausente ou desconhecido",IF(COUNTIFS(Lotes!$A$5:$A$204,D108,Lotes!$S$5:$S$204,"?*")&gt;0,"Revisar cadastro do lote",IF(B108&lt;INDEX(Lotes!$E$5:$E$204,MATCH(D108,Lotes!$A$5:$A$204,0)),"Movimento anterior ao recebimento",IF(OR(NOT(ISNUMBER(G108)),G108&lt;=0),"Quantidade ausente ou inválida",""))))))))</x:f>
      </x:c>
      <x:c r="P108" s="163" t="n">
        <x:f>IF(O108="",0,1)</x:f>
        <x:v>0</x:v>
      </x:c>
      <x:c r="Q108" s="163" t="n">
        <x:f>IF(COUNTA(A108:D108,G108,K108:N108)=0,0,IF(OR(Listas!$B$19="Todos",E108=Listas!$B$19,E108="",COUNTIFS(Lotes!$A$5:$A$204,D108)&lt;&gt;1),1,0))</x:f>
        <x:v>0</x:v>
      </x:c>
      <x:c r="R108" s="1"/>
      <x:c r="S108" s="1"/>
      <x:c r="T108" s="1"/>
      <x:c r="U108" s="1"/>
      <x:c r="V108" s="1"/>
      <x:c r="W108" s="1"/>
    </x:row>
    <x:row r="109" ht="32" customHeight="1">
      <x:c r="A109" s="170"/>
      <x:c r="B109" s="179"/>
      <x:c r="C109" s="170"/>
      <x:c r="D109" s="170"/>
      <x:c r="E109" s="40" t="str">
        <x:f>IF($D109="","",IFERROR(INDEX(Lotes!$B$5:$B$204,MATCH($D109,Lotes!$A$5:$A$204,0)),""))</x:f>
      </x:c>
      <x:c r="F109" s="40" t="str">
        <x:f>IF($D109="","",IFERROR(INDEX(Lotes!$C$5:$C$204,MATCH($D109,Lotes!$A$5:$A$204,0)),""))</x:f>
      </x:c>
      <x:c r="G109" s="27"/>
      <x:c r="H109" s="40" t="str">
        <x:f>IF(A109="","",IF(O109&lt;&gt;"","n.a.",IF(OR(C109="Saída",C109="Perda",C109="Ajuste negativo"),-G109,G109)))</x:f>
      </x:c>
      <x:c r="I109" s="181" t="str">
        <x:f>IF($D109="","",IFERROR(INDEX(Lotes!$K$5:$K$204,MATCH($D109,Lotes!$A$5:$A$204,0)),0))</x:f>
      </x:c>
      <x:c r="J109" s="181" t="str">
        <x:f>IF(A109="","",IF(O109&lt;&gt;"","n.a.",ABS(H109)*I109))</x:f>
      </x:c>
      <x:c r="K109" s="27"/>
      <x:c r="L109" s="27"/>
      <x:c r="M109" s="27"/>
      <x:c r="N109" s="27"/>
      <x:c r="O109" s="163" t="str">
        <x:f>IF(COUNTA(A109:D109,G109,K109:N109)=0,"",IF(OR(A109="",COUNTIFS($A$5:$A$304,A109)&lt;&gt;1),"ID ausente ou duplicado",IF(OR(NOT(ISNUMBER(B109)),B109&lt;=0),"Data ausente ou inválida",IF(AND(C109&lt;&gt;"Entrada",C109&lt;&gt;"Saída",C109&lt;&gt;"Perda",C109&lt;&gt;"Ajuste positivo",C109&lt;&gt;"Ajuste negativo"),"Tipo de movimento inválido",IF(OR(D109="",COUNTIFS(Lotes!$A$5:$A$204,D109)&lt;&gt;1),"Lote ausente ou desconhecido",IF(COUNTIFS(Lotes!$A$5:$A$204,D109,Lotes!$S$5:$S$204,"?*")&gt;0,"Revisar cadastro do lote",IF(B109&lt;INDEX(Lotes!$E$5:$E$204,MATCH(D109,Lotes!$A$5:$A$204,0)),"Movimento anterior ao recebimento",IF(OR(NOT(ISNUMBER(G109)),G109&lt;=0),"Quantidade ausente ou inválida",""))))))))</x:f>
      </x:c>
      <x:c r="P109" s="163" t="n">
        <x:f>IF(O109="",0,1)</x:f>
        <x:v>0</x:v>
      </x:c>
      <x:c r="Q109" s="163" t="n">
        <x:f>IF(COUNTA(A109:D109,G109,K109:N109)=0,0,IF(OR(Listas!$B$19="Todos",E109=Listas!$B$19,E109="",COUNTIFS(Lotes!$A$5:$A$204,D109)&lt;&gt;1),1,0))</x:f>
        <x:v>0</x:v>
      </x:c>
      <x:c r="R109" s="1"/>
      <x:c r="S109" s="1"/>
      <x:c r="T109" s="1"/>
      <x:c r="U109" s="1"/>
      <x:c r="V109" s="1"/>
      <x:c r="W109" s="1"/>
    </x:row>
    <x:row r="110" ht="32" customHeight="1">
      <x:c r="A110" s="170"/>
      <x:c r="B110" s="179"/>
      <x:c r="C110" s="170"/>
      <x:c r="D110" s="170"/>
      <x:c r="E110" s="40" t="str">
        <x:f>IF($D110="","",IFERROR(INDEX(Lotes!$B$5:$B$204,MATCH($D110,Lotes!$A$5:$A$204,0)),""))</x:f>
      </x:c>
      <x:c r="F110" s="40" t="str">
        <x:f>IF($D110="","",IFERROR(INDEX(Lotes!$C$5:$C$204,MATCH($D110,Lotes!$A$5:$A$204,0)),""))</x:f>
      </x:c>
      <x:c r="G110" s="27"/>
      <x:c r="H110" s="40" t="str">
        <x:f>IF(A110="","",IF(O110&lt;&gt;"","n.a.",IF(OR(C110="Saída",C110="Perda",C110="Ajuste negativo"),-G110,G110)))</x:f>
      </x:c>
      <x:c r="I110" s="181" t="str">
        <x:f>IF($D110="","",IFERROR(INDEX(Lotes!$K$5:$K$204,MATCH($D110,Lotes!$A$5:$A$204,0)),0))</x:f>
      </x:c>
      <x:c r="J110" s="181" t="str">
        <x:f>IF(A110="","",IF(O110&lt;&gt;"","n.a.",ABS(H110)*I110))</x:f>
      </x:c>
      <x:c r="K110" s="27"/>
      <x:c r="L110" s="27"/>
      <x:c r="M110" s="27"/>
      <x:c r="N110" s="27"/>
      <x:c r="O110" s="163" t="str">
        <x:f>IF(COUNTA(A110:D110,G110,K110:N110)=0,"",IF(OR(A110="",COUNTIFS($A$5:$A$304,A110)&lt;&gt;1),"ID ausente ou duplicado",IF(OR(NOT(ISNUMBER(B110)),B110&lt;=0),"Data ausente ou inválida",IF(AND(C110&lt;&gt;"Entrada",C110&lt;&gt;"Saída",C110&lt;&gt;"Perda",C110&lt;&gt;"Ajuste positivo",C110&lt;&gt;"Ajuste negativo"),"Tipo de movimento inválido",IF(OR(D110="",COUNTIFS(Lotes!$A$5:$A$204,D110)&lt;&gt;1),"Lote ausente ou desconhecido",IF(COUNTIFS(Lotes!$A$5:$A$204,D110,Lotes!$S$5:$S$204,"?*")&gt;0,"Revisar cadastro do lote",IF(B110&lt;INDEX(Lotes!$E$5:$E$204,MATCH(D110,Lotes!$A$5:$A$204,0)),"Movimento anterior ao recebimento",IF(OR(NOT(ISNUMBER(G110)),G110&lt;=0),"Quantidade ausente ou inválida",""))))))))</x:f>
      </x:c>
      <x:c r="P110" s="163" t="n">
        <x:f>IF(O110="",0,1)</x:f>
        <x:v>0</x:v>
      </x:c>
      <x:c r="Q110" s="163" t="n">
        <x:f>IF(COUNTA(A110:D110,G110,K110:N110)=0,0,IF(OR(Listas!$B$19="Todos",E110=Listas!$B$19,E110="",COUNTIFS(Lotes!$A$5:$A$204,D110)&lt;&gt;1),1,0))</x:f>
        <x:v>0</x:v>
      </x:c>
      <x:c r="R110" s="1"/>
      <x:c r="S110" s="1"/>
      <x:c r="T110" s="1"/>
      <x:c r="U110" s="1"/>
      <x:c r="V110" s="1"/>
      <x:c r="W110" s="1"/>
    </x:row>
    <x:row r="111" ht="32" customHeight="1">
      <x:c r="A111" s="170"/>
      <x:c r="B111" s="179"/>
      <x:c r="C111" s="170"/>
      <x:c r="D111" s="170"/>
      <x:c r="E111" s="40" t="str">
        <x:f>IF($D111="","",IFERROR(INDEX(Lotes!$B$5:$B$204,MATCH($D111,Lotes!$A$5:$A$204,0)),""))</x:f>
      </x:c>
      <x:c r="F111" s="40" t="str">
        <x:f>IF($D111="","",IFERROR(INDEX(Lotes!$C$5:$C$204,MATCH($D111,Lotes!$A$5:$A$204,0)),""))</x:f>
      </x:c>
      <x:c r="G111" s="27"/>
      <x:c r="H111" s="40" t="str">
        <x:f>IF(A111="","",IF(O111&lt;&gt;"","n.a.",IF(OR(C111="Saída",C111="Perda",C111="Ajuste negativo"),-G111,G111)))</x:f>
      </x:c>
      <x:c r="I111" s="181" t="str">
        <x:f>IF($D111="","",IFERROR(INDEX(Lotes!$K$5:$K$204,MATCH($D111,Lotes!$A$5:$A$204,0)),0))</x:f>
      </x:c>
      <x:c r="J111" s="181" t="str">
        <x:f>IF(A111="","",IF(O111&lt;&gt;"","n.a.",ABS(H111)*I111))</x:f>
      </x:c>
      <x:c r="K111" s="27"/>
      <x:c r="L111" s="27"/>
      <x:c r="M111" s="27"/>
      <x:c r="N111" s="27"/>
      <x:c r="O111" s="163" t="str">
        <x:f>IF(COUNTA(A111:D111,G111,K111:N111)=0,"",IF(OR(A111="",COUNTIFS($A$5:$A$304,A111)&lt;&gt;1),"ID ausente ou duplicado",IF(OR(NOT(ISNUMBER(B111)),B111&lt;=0),"Data ausente ou inválida",IF(AND(C111&lt;&gt;"Entrada",C111&lt;&gt;"Saída",C111&lt;&gt;"Perda",C111&lt;&gt;"Ajuste positivo",C111&lt;&gt;"Ajuste negativo"),"Tipo de movimento inválido",IF(OR(D111="",COUNTIFS(Lotes!$A$5:$A$204,D111)&lt;&gt;1),"Lote ausente ou desconhecido",IF(COUNTIFS(Lotes!$A$5:$A$204,D111,Lotes!$S$5:$S$204,"?*")&gt;0,"Revisar cadastro do lote",IF(B111&lt;INDEX(Lotes!$E$5:$E$204,MATCH(D111,Lotes!$A$5:$A$204,0)),"Movimento anterior ao recebimento",IF(OR(NOT(ISNUMBER(G111)),G111&lt;=0),"Quantidade ausente ou inválida",""))))))))</x:f>
      </x:c>
      <x:c r="P111" s="163" t="n">
        <x:f>IF(O111="",0,1)</x:f>
        <x:v>0</x:v>
      </x:c>
      <x:c r="Q111" s="163" t="n">
        <x:f>IF(COUNTA(A111:D111,G111,K111:N111)=0,0,IF(OR(Listas!$B$19="Todos",E111=Listas!$B$19,E111="",COUNTIFS(Lotes!$A$5:$A$204,D111)&lt;&gt;1),1,0))</x:f>
        <x:v>0</x:v>
      </x:c>
      <x:c r="R111" s="1"/>
      <x:c r="S111" s="1"/>
      <x:c r="T111" s="1"/>
      <x:c r="U111" s="1"/>
      <x:c r="V111" s="1"/>
      <x:c r="W111" s="1"/>
    </x:row>
    <x:row r="112" ht="32" customHeight="1">
      <x:c r="A112" s="170"/>
      <x:c r="B112" s="179"/>
      <x:c r="C112" s="170"/>
      <x:c r="D112" s="170"/>
      <x:c r="E112" s="40" t="str">
        <x:f>IF($D112="","",IFERROR(INDEX(Lotes!$B$5:$B$204,MATCH($D112,Lotes!$A$5:$A$204,0)),""))</x:f>
      </x:c>
      <x:c r="F112" s="40" t="str">
        <x:f>IF($D112="","",IFERROR(INDEX(Lotes!$C$5:$C$204,MATCH($D112,Lotes!$A$5:$A$204,0)),""))</x:f>
      </x:c>
      <x:c r="G112" s="27"/>
      <x:c r="H112" s="40" t="str">
        <x:f>IF(A112="","",IF(O112&lt;&gt;"","n.a.",IF(OR(C112="Saída",C112="Perda",C112="Ajuste negativo"),-G112,G112)))</x:f>
      </x:c>
      <x:c r="I112" s="181" t="str">
        <x:f>IF($D112="","",IFERROR(INDEX(Lotes!$K$5:$K$204,MATCH($D112,Lotes!$A$5:$A$204,0)),0))</x:f>
      </x:c>
      <x:c r="J112" s="181" t="str">
        <x:f>IF(A112="","",IF(O112&lt;&gt;"","n.a.",ABS(H112)*I112))</x:f>
      </x:c>
      <x:c r="K112" s="27"/>
      <x:c r="L112" s="27"/>
      <x:c r="M112" s="27"/>
      <x:c r="N112" s="27"/>
      <x:c r="O112" s="163" t="str">
        <x:f>IF(COUNTA(A112:D112,G112,K112:N112)=0,"",IF(OR(A112="",COUNTIFS($A$5:$A$304,A112)&lt;&gt;1),"ID ausente ou duplicado",IF(OR(NOT(ISNUMBER(B112)),B112&lt;=0),"Data ausente ou inválida",IF(AND(C112&lt;&gt;"Entrada",C112&lt;&gt;"Saída",C112&lt;&gt;"Perda",C112&lt;&gt;"Ajuste positivo",C112&lt;&gt;"Ajuste negativo"),"Tipo de movimento inválido",IF(OR(D112="",COUNTIFS(Lotes!$A$5:$A$204,D112)&lt;&gt;1),"Lote ausente ou desconhecido",IF(COUNTIFS(Lotes!$A$5:$A$204,D112,Lotes!$S$5:$S$204,"?*")&gt;0,"Revisar cadastro do lote",IF(B112&lt;INDEX(Lotes!$E$5:$E$204,MATCH(D112,Lotes!$A$5:$A$204,0)),"Movimento anterior ao recebimento",IF(OR(NOT(ISNUMBER(G112)),G112&lt;=0),"Quantidade ausente ou inválida",""))))))))</x:f>
      </x:c>
      <x:c r="P112" s="163" t="n">
        <x:f>IF(O112="",0,1)</x:f>
        <x:v>0</x:v>
      </x:c>
      <x:c r="Q112" s="163" t="n">
        <x:f>IF(COUNTA(A112:D112,G112,K112:N112)=0,0,IF(OR(Listas!$B$19="Todos",E112=Listas!$B$19,E112="",COUNTIFS(Lotes!$A$5:$A$204,D112)&lt;&gt;1),1,0))</x:f>
        <x:v>0</x:v>
      </x:c>
      <x:c r="R112" s="1"/>
      <x:c r="S112" s="1"/>
      <x:c r="T112" s="1"/>
      <x:c r="U112" s="1"/>
      <x:c r="V112" s="1"/>
      <x:c r="W112" s="1"/>
    </x:row>
    <x:row r="113" ht="32" customHeight="1">
      <x:c r="A113" s="170"/>
      <x:c r="B113" s="179"/>
      <x:c r="C113" s="170"/>
      <x:c r="D113" s="170"/>
      <x:c r="E113" s="40" t="str">
        <x:f>IF($D113="","",IFERROR(INDEX(Lotes!$B$5:$B$204,MATCH($D113,Lotes!$A$5:$A$204,0)),""))</x:f>
      </x:c>
      <x:c r="F113" s="40" t="str">
        <x:f>IF($D113="","",IFERROR(INDEX(Lotes!$C$5:$C$204,MATCH($D113,Lotes!$A$5:$A$204,0)),""))</x:f>
      </x:c>
      <x:c r="G113" s="27"/>
      <x:c r="H113" s="40" t="str">
        <x:f>IF(A113="","",IF(O113&lt;&gt;"","n.a.",IF(OR(C113="Saída",C113="Perda",C113="Ajuste negativo"),-G113,G113)))</x:f>
      </x:c>
      <x:c r="I113" s="181" t="str">
        <x:f>IF($D113="","",IFERROR(INDEX(Lotes!$K$5:$K$204,MATCH($D113,Lotes!$A$5:$A$204,0)),0))</x:f>
      </x:c>
      <x:c r="J113" s="181" t="str">
        <x:f>IF(A113="","",IF(O113&lt;&gt;"","n.a.",ABS(H113)*I113))</x:f>
      </x:c>
      <x:c r="K113" s="27"/>
      <x:c r="L113" s="27"/>
      <x:c r="M113" s="27"/>
      <x:c r="N113" s="27"/>
      <x:c r="O113" s="163" t="str">
        <x:f>IF(COUNTA(A113:D113,G113,K113:N113)=0,"",IF(OR(A113="",COUNTIFS($A$5:$A$304,A113)&lt;&gt;1),"ID ausente ou duplicado",IF(OR(NOT(ISNUMBER(B113)),B113&lt;=0),"Data ausente ou inválida",IF(AND(C113&lt;&gt;"Entrada",C113&lt;&gt;"Saída",C113&lt;&gt;"Perda",C113&lt;&gt;"Ajuste positivo",C113&lt;&gt;"Ajuste negativo"),"Tipo de movimento inválido",IF(OR(D113="",COUNTIFS(Lotes!$A$5:$A$204,D113)&lt;&gt;1),"Lote ausente ou desconhecido",IF(COUNTIFS(Lotes!$A$5:$A$204,D113,Lotes!$S$5:$S$204,"?*")&gt;0,"Revisar cadastro do lote",IF(B113&lt;INDEX(Lotes!$E$5:$E$204,MATCH(D113,Lotes!$A$5:$A$204,0)),"Movimento anterior ao recebimento",IF(OR(NOT(ISNUMBER(G113)),G113&lt;=0),"Quantidade ausente ou inválida",""))))))))</x:f>
      </x:c>
      <x:c r="P113" s="163" t="n">
        <x:f>IF(O113="",0,1)</x:f>
        <x:v>0</x:v>
      </x:c>
      <x:c r="Q113" s="163" t="n">
        <x:f>IF(COUNTA(A113:D113,G113,K113:N113)=0,0,IF(OR(Listas!$B$19="Todos",E113=Listas!$B$19,E113="",COUNTIFS(Lotes!$A$5:$A$204,D113)&lt;&gt;1),1,0))</x:f>
        <x:v>0</x:v>
      </x:c>
      <x:c r="R113" s="1"/>
      <x:c r="S113" s="1"/>
      <x:c r="T113" s="1"/>
      <x:c r="U113" s="1"/>
      <x:c r="V113" s="1"/>
      <x:c r="W113" s="1"/>
    </x:row>
    <x:row r="114" ht="32" customHeight="1">
      <x:c r="A114" s="170"/>
      <x:c r="B114" s="179"/>
      <x:c r="C114" s="170"/>
      <x:c r="D114" s="170"/>
      <x:c r="E114" s="40" t="str">
        <x:f>IF($D114="","",IFERROR(INDEX(Lotes!$B$5:$B$204,MATCH($D114,Lotes!$A$5:$A$204,0)),""))</x:f>
      </x:c>
      <x:c r="F114" s="40" t="str">
        <x:f>IF($D114="","",IFERROR(INDEX(Lotes!$C$5:$C$204,MATCH($D114,Lotes!$A$5:$A$204,0)),""))</x:f>
      </x:c>
      <x:c r="G114" s="27"/>
      <x:c r="H114" s="40" t="str">
        <x:f>IF(A114="","",IF(O114&lt;&gt;"","n.a.",IF(OR(C114="Saída",C114="Perda",C114="Ajuste negativo"),-G114,G114)))</x:f>
      </x:c>
      <x:c r="I114" s="181" t="str">
        <x:f>IF($D114="","",IFERROR(INDEX(Lotes!$K$5:$K$204,MATCH($D114,Lotes!$A$5:$A$204,0)),0))</x:f>
      </x:c>
      <x:c r="J114" s="181" t="str">
        <x:f>IF(A114="","",IF(O114&lt;&gt;"","n.a.",ABS(H114)*I114))</x:f>
      </x:c>
      <x:c r="K114" s="27"/>
      <x:c r="L114" s="27"/>
      <x:c r="M114" s="27"/>
      <x:c r="N114" s="27"/>
      <x:c r="O114" s="163" t="str">
        <x:f>IF(COUNTA(A114:D114,G114,K114:N114)=0,"",IF(OR(A114="",COUNTIFS($A$5:$A$304,A114)&lt;&gt;1),"ID ausente ou duplicado",IF(OR(NOT(ISNUMBER(B114)),B114&lt;=0),"Data ausente ou inválida",IF(AND(C114&lt;&gt;"Entrada",C114&lt;&gt;"Saída",C114&lt;&gt;"Perda",C114&lt;&gt;"Ajuste positivo",C114&lt;&gt;"Ajuste negativo"),"Tipo de movimento inválido",IF(OR(D114="",COUNTIFS(Lotes!$A$5:$A$204,D114)&lt;&gt;1),"Lote ausente ou desconhecido",IF(COUNTIFS(Lotes!$A$5:$A$204,D114,Lotes!$S$5:$S$204,"?*")&gt;0,"Revisar cadastro do lote",IF(B114&lt;INDEX(Lotes!$E$5:$E$204,MATCH(D114,Lotes!$A$5:$A$204,0)),"Movimento anterior ao recebimento",IF(OR(NOT(ISNUMBER(G114)),G114&lt;=0),"Quantidade ausente ou inválida",""))))))))</x:f>
      </x:c>
      <x:c r="P114" s="163" t="n">
        <x:f>IF(O114="",0,1)</x:f>
        <x:v>0</x:v>
      </x:c>
      <x:c r="Q114" s="163" t="n">
        <x:f>IF(COUNTA(A114:D114,G114,K114:N114)=0,0,IF(OR(Listas!$B$19="Todos",E114=Listas!$B$19,E114="",COUNTIFS(Lotes!$A$5:$A$204,D114)&lt;&gt;1),1,0))</x:f>
        <x:v>0</x:v>
      </x:c>
      <x:c r="R114" s="1"/>
      <x:c r="S114" s="1"/>
      <x:c r="T114" s="1"/>
      <x:c r="U114" s="1"/>
      <x:c r="V114" s="1"/>
      <x:c r="W114" s="1"/>
    </x:row>
    <x:row r="115" ht="32" customHeight="1">
      <x:c r="A115" s="170"/>
      <x:c r="B115" s="179"/>
      <x:c r="C115" s="170"/>
      <x:c r="D115" s="170"/>
      <x:c r="E115" s="40" t="str">
        <x:f>IF($D115="","",IFERROR(INDEX(Lotes!$B$5:$B$204,MATCH($D115,Lotes!$A$5:$A$204,0)),""))</x:f>
      </x:c>
      <x:c r="F115" s="40" t="str">
        <x:f>IF($D115="","",IFERROR(INDEX(Lotes!$C$5:$C$204,MATCH($D115,Lotes!$A$5:$A$204,0)),""))</x:f>
      </x:c>
      <x:c r="G115" s="27"/>
      <x:c r="H115" s="40" t="str">
        <x:f>IF(A115="","",IF(O115&lt;&gt;"","n.a.",IF(OR(C115="Saída",C115="Perda",C115="Ajuste negativo"),-G115,G115)))</x:f>
      </x:c>
      <x:c r="I115" s="181" t="str">
        <x:f>IF($D115="","",IFERROR(INDEX(Lotes!$K$5:$K$204,MATCH($D115,Lotes!$A$5:$A$204,0)),0))</x:f>
      </x:c>
      <x:c r="J115" s="181" t="str">
        <x:f>IF(A115="","",IF(O115&lt;&gt;"","n.a.",ABS(H115)*I115))</x:f>
      </x:c>
      <x:c r="K115" s="27"/>
      <x:c r="L115" s="27"/>
      <x:c r="M115" s="27"/>
      <x:c r="N115" s="27"/>
      <x:c r="O115" s="163" t="str">
        <x:f>IF(COUNTA(A115:D115,G115,K115:N115)=0,"",IF(OR(A115="",COUNTIFS($A$5:$A$304,A115)&lt;&gt;1),"ID ausente ou duplicado",IF(OR(NOT(ISNUMBER(B115)),B115&lt;=0),"Data ausente ou inválida",IF(AND(C115&lt;&gt;"Entrada",C115&lt;&gt;"Saída",C115&lt;&gt;"Perda",C115&lt;&gt;"Ajuste positivo",C115&lt;&gt;"Ajuste negativo"),"Tipo de movimento inválido",IF(OR(D115="",COUNTIFS(Lotes!$A$5:$A$204,D115)&lt;&gt;1),"Lote ausente ou desconhecido",IF(COUNTIFS(Lotes!$A$5:$A$204,D115,Lotes!$S$5:$S$204,"?*")&gt;0,"Revisar cadastro do lote",IF(B115&lt;INDEX(Lotes!$E$5:$E$204,MATCH(D115,Lotes!$A$5:$A$204,0)),"Movimento anterior ao recebimento",IF(OR(NOT(ISNUMBER(G115)),G115&lt;=0),"Quantidade ausente ou inválida",""))))))))</x:f>
      </x:c>
      <x:c r="P115" s="163" t="n">
        <x:f>IF(O115="",0,1)</x:f>
        <x:v>0</x:v>
      </x:c>
      <x:c r="Q115" s="163" t="n">
        <x:f>IF(COUNTA(A115:D115,G115,K115:N115)=0,0,IF(OR(Listas!$B$19="Todos",E115=Listas!$B$19,E115="",COUNTIFS(Lotes!$A$5:$A$204,D115)&lt;&gt;1),1,0))</x:f>
        <x:v>0</x:v>
      </x:c>
      <x:c r="R115" s="1"/>
      <x:c r="S115" s="1"/>
      <x:c r="T115" s="1"/>
      <x:c r="U115" s="1"/>
      <x:c r="V115" s="1"/>
      <x:c r="W115" s="1"/>
    </x:row>
    <x:row r="116" ht="32" customHeight="1">
      <x:c r="A116" s="170"/>
      <x:c r="B116" s="179"/>
      <x:c r="C116" s="170"/>
      <x:c r="D116" s="170"/>
      <x:c r="E116" s="40" t="str">
        <x:f>IF($D116="","",IFERROR(INDEX(Lotes!$B$5:$B$204,MATCH($D116,Lotes!$A$5:$A$204,0)),""))</x:f>
      </x:c>
      <x:c r="F116" s="40" t="str">
        <x:f>IF($D116="","",IFERROR(INDEX(Lotes!$C$5:$C$204,MATCH($D116,Lotes!$A$5:$A$204,0)),""))</x:f>
      </x:c>
      <x:c r="G116" s="27"/>
      <x:c r="H116" s="40" t="str">
        <x:f>IF(A116="","",IF(O116&lt;&gt;"","n.a.",IF(OR(C116="Saída",C116="Perda",C116="Ajuste negativo"),-G116,G116)))</x:f>
      </x:c>
      <x:c r="I116" s="181" t="str">
        <x:f>IF($D116="","",IFERROR(INDEX(Lotes!$K$5:$K$204,MATCH($D116,Lotes!$A$5:$A$204,0)),0))</x:f>
      </x:c>
      <x:c r="J116" s="181" t="str">
        <x:f>IF(A116="","",IF(O116&lt;&gt;"","n.a.",ABS(H116)*I116))</x:f>
      </x:c>
      <x:c r="K116" s="27"/>
      <x:c r="L116" s="27"/>
      <x:c r="M116" s="27"/>
      <x:c r="N116" s="27"/>
      <x:c r="O116" s="163" t="str">
        <x:f>IF(COUNTA(A116:D116,G116,K116:N116)=0,"",IF(OR(A116="",COUNTIFS($A$5:$A$304,A116)&lt;&gt;1),"ID ausente ou duplicado",IF(OR(NOT(ISNUMBER(B116)),B116&lt;=0),"Data ausente ou inválida",IF(AND(C116&lt;&gt;"Entrada",C116&lt;&gt;"Saída",C116&lt;&gt;"Perda",C116&lt;&gt;"Ajuste positivo",C116&lt;&gt;"Ajuste negativo"),"Tipo de movimento inválido",IF(OR(D116="",COUNTIFS(Lotes!$A$5:$A$204,D116)&lt;&gt;1),"Lote ausente ou desconhecido",IF(COUNTIFS(Lotes!$A$5:$A$204,D116,Lotes!$S$5:$S$204,"?*")&gt;0,"Revisar cadastro do lote",IF(B116&lt;INDEX(Lotes!$E$5:$E$204,MATCH(D116,Lotes!$A$5:$A$204,0)),"Movimento anterior ao recebimento",IF(OR(NOT(ISNUMBER(G116)),G116&lt;=0),"Quantidade ausente ou inválida",""))))))))</x:f>
      </x:c>
      <x:c r="P116" s="163" t="n">
        <x:f>IF(O116="",0,1)</x:f>
        <x:v>0</x:v>
      </x:c>
      <x:c r="Q116" s="163" t="n">
        <x:f>IF(COUNTA(A116:D116,G116,K116:N116)=0,0,IF(OR(Listas!$B$19="Todos",E116=Listas!$B$19,E116="",COUNTIFS(Lotes!$A$5:$A$204,D116)&lt;&gt;1),1,0))</x:f>
        <x:v>0</x:v>
      </x:c>
      <x:c r="R116" s="1"/>
      <x:c r="S116" s="1"/>
      <x:c r="T116" s="1"/>
      <x:c r="U116" s="1"/>
      <x:c r="V116" s="1"/>
      <x:c r="W116" s="1"/>
    </x:row>
    <x:row r="117" ht="32" customHeight="1">
      <x:c r="A117" s="170"/>
      <x:c r="B117" s="179"/>
      <x:c r="C117" s="170"/>
      <x:c r="D117" s="170"/>
      <x:c r="E117" s="40" t="str">
        <x:f>IF($D117="","",IFERROR(INDEX(Lotes!$B$5:$B$204,MATCH($D117,Lotes!$A$5:$A$204,0)),""))</x:f>
      </x:c>
      <x:c r="F117" s="40" t="str">
        <x:f>IF($D117="","",IFERROR(INDEX(Lotes!$C$5:$C$204,MATCH($D117,Lotes!$A$5:$A$204,0)),""))</x:f>
      </x:c>
      <x:c r="G117" s="27"/>
      <x:c r="H117" s="40" t="str">
        <x:f>IF(A117="","",IF(O117&lt;&gt;"","n.a.",IF(OR(C117="Saída",C117="Perda",C117="Ajuste negativo"),-G117,G117)))</x:f>
      </x:c>
      <x:c r="I117" s="181" t="str">
        <x:f>IF($D117="","",IFERROR(INDEX(Lotes!$K$5:$K$204,MATCH($D117,Lotes!$A$5:$A$204,0)),0))</x:f>
      </x:c>
      <x:c r="J117" s="181" t="str">
        <x:f>IF(A117="","",IF(O117&lt;&gt;"","n.a.",ABS(H117)*I117))</x:f>
      </x:c>
      <x:c r="K117" s="27"/>
      <x:c r="L117" s="27"/>
      <x:c r="M117" s="27"/>
      <x:c r="N117" s="27"/>
      <x:c r="O117" s="163" t="str">
        <x:f>IF(COUNTA(A117:D117,G117,K117:N117)=0,"",IF(OR(A117="",COUNTIFS($A$5:$A$304,A117)&lt;&gt;1),"ID ausente ou duplicado",IF(OR(NOT(ISNUMBER(B117)),B117&lt;=0),"Data ausente ou inválida",IF(AND(C117&lt;&gt;"Entrada",C117&lt;&gt;"Saída",C117&lt;&gt;"Perda",C117&lt;&gt;"Ajuste positivo",C117&lt;&gt;"Ajuste negativo"),"Tipo de movimento inválido",IF(OR(D117="",COUNTIFS(Lotes!$A$5:$A$204,D117)&lt;&gt;1),"Lote ausente ou desconhecido",IF(COUNTIFS(Lotes!$A$5:$A$204,D117,Lotes!$S$5:$S$204,"?*")&gt;0,"Revisar cadastro do lote",IF(B117&lt;INDEX(Lotes!$E$5:$E$204,MATCH(D117,Lotes!$A$5:$A$204,0)),"Movimento anterior ao recebimento",IF(OR(NOT(ISNUMBER(G117)),G117&lt;=0),"Quantidade ausente ou inválida",""))))))))</x:f>
      </x:c>
      <x:c r="P117" s="163" t="n">
        <x:f>IF(O117="",0,1)</x:f>
        <x:v>0</x:v>
      </x:c>
      <x:c r="Q117" s="163" t="n">
        <x:f>IF(COUNTA(A117:D117,G117,K117:N117)=0,0,IF(OR(Listas!$B$19="Todos",E117=Listas!$B$19,E117="",COUNTIFS(Lotes!$A$5:$A$204,D117)&lt;&gt;1),1,0))</x:f>
        <x:v>0</x:v>
      </x:c>
      <x:c r="R117" s="1"/>
      <x:c r="S117" s="1"/>
      <x:c r="T117" s="1"/>
      <x:c r="U117" s="1"/>
      <x:c r="V117" s="1"/>
      <x:c r="W117" s="1"/>
    </x:row>
    <x:row r="118" ht="32" customHeight="1">
      <x:c r="A118" s="170"/>
      <x:c r="B118" s="179"/>
      <x:c r="C118" s="170"/>
      <x:c r="D118" s="170"/>
      <x:c r="E118" s="40" t="str">
        <x:f>IF($D118="","",IFERROR(INDEX(Lotes!$B$5:$B$204,MATCH($D118,Lotes!$A$5:$A$204,0)),""))</x:f>
      </x:c>
      <x:c r="F118" s="40" t="str">
        <x:f>IF($D118="","",IFERROR(INDEX(Lotes!$C$5:$C$204,MATCH($D118,Lotes!$A$5:$A$204,0)),""))</x:f>
      </x:c>
      <x:c r="G118" s="27"/>
      <x:c r="H118" s="40" t="str">
        <x:f>IF(A118="","",IF(O118&lt;&gt;"","n.a.",IF(OR(C118="Saída",C118="Perda",C118="Ajuste negativo"),-G118,G118)))</x:f>
      </x:c>
      <x:c r="I118" s="181" t="str">
        <x:f>IF($D118="","",IFERROR(INDEX(Lotes!$K$5:$K$204,MATCH($D118,Lotes!$A$5:$A$204,0)),0))</x:f>
      </x:c>
      <x:c r="J118" s="181" t="str">
        <x:f>IF(A118="","",IF(O118&lt;&gt;"","n.a.",ABS(H118)*I118))</x:f>
      </x:c>
      <x:c r="K118" s="27"/>
      <x:c r="L118" s="27"/>
      <x:c r="M118" s="27"/>
      <x:c r="N118" s="27"/>
      <x:c r="O118" s="163" t="str">
        <x:f>IF(COUNTA(A118:D118,G118,K118:N118)=0,"",IF(OR(A118="",COUNTIFS($A$5:$A$304,A118)&lt;&gt;1),"ID ausente ou duplicado",IF(OR(NOT(ISNUMBER(B118)),B118&lt;=0),"Data ausente ou inválida",IF(AND(C118&lt;&gt;"Entrada",C118&lt;&gt;"Saída",C118&lt;&gt;"Perda",C118&lt;&gt;"Ajuste positivo",C118&lt;&gt;"Ajuste negativo"),"Tipo de movimento inválido",IF(OR(D118="",COUNTIFS(Lotes!$A$5:$A$204,D118)&lt;&gt;1),"Lote ausente ou desconhecido",IF(COUNTIFS(Lotes!$A$5:$A$204,D118,Lotes!$S$5:$S$204,"?*")&gt;0,"Revisar cadastro do lote",IF(B118&lt;INDEX(Lotes!$E$5:$E$204,MATCH(D118,Lotes!$A$5:$A$204,0)),"Movimento anterior ao recebimento",IF(OR(NOT(ISNUMBER(G118)),G118&lt;=0),"Quantidade ausente ou inválida",""))))))))</x:f>
      </x:c>
      <x:c r="P118" s="163" t="n">
        <x:f>IF(O118="",0,1)</x:f>
        <x:v>0</x:v>
      </x:c>
      <x:c r="Q118" s="163" t="n">
        <x:f>IF(COUNTA(A118:D118,G118,K118:N118)=0,0,IF(OR(Listas!$B$19="Todos",E118=Listas!$B$19,E118="",COUNTIFS(Lotes!$A$5:$A$204,D118)&lt;&gt;1),1,0))</x:f>
        <x:v>0</x:v>
      </x:c>
      <x:c r="R118" s="1"/>
      <x:c r="S118" s="1"/>
      <x:c r="T118" s="1"/>
      <x:c r="U118" s="1"/>
      <x:c r="V118" s="1"/>
      <x:c r="W118" s="1"/>
    </x:row>
    <x:row r="119" ht="32" customHeight="1">
      <x:c r="A119" s="170"/>
      <x:c r="B119" s="179"/>
      <x:c r="C119" s="170"/>
      <x:c r="D119" s="170"/>
      <x:c r="E119" s="40" t="str">
        <x:f>IF($D119="","",IFERROR(INDEX(Lotes!$B$5:$B$204,MATCH($D119,Lotes!$A$5:$A$204,0)),""))</x:f>
      </x:c>
      <x:c r="F119" s="40" t="str">
        <x:f>IF($D119="","",IFERROR(INDEX(Lotes!$C$5:$C$204,MATCH($D119,Lotes!$A$5:$A$204,0)),""))</x:f>
      </x:c>
      <x:c r="G119" s="27"/>
      <x:c r="H119" s="40" t="str">
        <x:f>IF(A119="","",IF(O119&lt;&gt;"","n.a.",IF(OR(C119="Saída",C119="Perda",C119="Ajuste negativo"),-G119,G119)))</x:f>
      </x:c>
      <x:c r="I119" s="181" t="str">
        <x:f>IF($D119="","",IFERROR(INDEX(Lotes!$K$5:$K$204,MATCH($D119,Lotes!$A$5:$A$204,0)),0))</x:f>
      </x:c>
      <x:c r="J119" s="181" t="str">
        <x:f>IF(A119="","",IF(O119&lt;&gt;"","n.a.",ABS(H119)*I119))</x:f>
      </x:c>
      <x:c r="K119" s="27"/>
      <x:c r="L119" s="27"/>
      <x:c r="M119" s="27"/>
      <x:c r="N119" s="27"/>
      <x:c r="O119" s="163" t="str">
        <x:f>IF(COUNTA(A119:D119,G119,K119:N119)=0,"",IF(OR(A119="",COUNTIFS($A$5:$A$304,A119)&lt;&gt;1),"ID ausente ou duplicado",IF(OR(NOT(ISNUMBER(B119)),B119&lt;=0),"Data ausente ou inválida",IF(AND(C119&lt;&gt;"Entrada",C119&lt;&gt;"Saída",C119&lt;&gt;"Perda",C119&lt;&gt;"Ajuste positivo",C119&lt;&gt;"Ajuste negativo"),"Tipo de movimento inválido",IF(OR(D119="",COUNTIFS(Lotes!$A$5:$A$204,D119)&lt;&gt;1),"Lote ausente ou desconhecido",IF(COUNTIFS(Lotes!$A$5:$A$204,D119,Lotes!$S$5:$S$204,"?*")&gt;0,"Revisar cadastro do lote",IF(B119&lt;INDEX(Lotes!$E$5:$E$204,MATCH(D119,Lotes!$A$5:$A$204,0)),"Movimento anterior ao recebimento",IF(OR(NOT(ISNUMBER(G119)),G119&lt;=0),"Quantidade ausente ou inválida",""))))))))</x:f>
      </x:c>
      <x:c r="P119" s="163" t="n">
        <x:f>IF(O119="",0,1)</x:f>
        <x:v>0</x:v>
      </x:c>
      <x:c r="Q119" s="163" t="n">
        <x:f>IF(COUNTA(A119:D119,G119,K119:N119)=0,0,IF(OR(Listas!$B$19="Todos",E119=Listas!$B$19,E119="",COUNTIFS(Lotes!$A$5:$A$204,D119)&lt;&gt;1),1,0))</x:f>
        <x:v>0</x:v>
      </x:c>
      <x:c r="R119" s="1"/>
      <x:c r="S119" s="1"/>
      <x:c r="T119" s="1"/>
      <x:c r="U119" s="1"/>
      <x:c r="V119" s="1"/>
      <x:c r="W119" s="1"/>
    </x:row>
    <x:row r="120" ht="32" customHeight="1">
      <x:c r="A120" s="170"/>
      <x:c r="B120" s="179"/>
      <x:c r="C120" s="170"/>
      <x:c r="D120" s="170"/>
      <x:c r="E120" s="40" t="str">
        <x:f>IF($D120="","",IFERROR(INDEX(Lotes!$B$5:$B$204,MATCH($D120,Lotes!$A$5:$A$204,0)),""))</x:f>
      </x:c>
      <x:c r="F120" s="40" t="str">
        <x:f>IF($D120="","",IFERROR(INDEX(Lotes!$C$5:$C$204,MATCH($D120,Lotes!$A$5:$A$204,0)),""))</x:f>
      </x:c>
      <x:c r="G120" s="27"/>
      <x:c r="H120" s="40" t="str">
        <x:f>IF(A120="","",IF(O120&lt;&gt;"","n.a.",IF(OR(C120="Saída",C120="Perda",C120="Ajuste negativo"),-G120,G120)))</x:f>
      </x:c>
      <x:c r="I120" s="181" t="str">
        <x:f>IF($D120="","",IFERROR(INDEX(Lotes!$K$5:$K$204,MATCH($D120,Lotes!$A$5:$A$204,0)),0))</x:f>
      </x:c>
      <x:c r="J120" s="181" t="str">
        <x:f>IF(A120="","",IF(O120&lt;&gt;"","n.a.",ABS(H120)*I120))</x:f>
      </x:c>
      <x:c r="K120" s="27"/>
      <x:c r="L120" s="27"/>
      <x:c r="M120" s="27"/>
      <x:c r="N120" s="27"/>
      <x:c r="O120" s="163" t="str">
        <x:f>IF(COUNTA(A120:D120,G120,K120:N120)=0,"",IF(OR(A120="",COUNTIFS($A$5:$A$304,A120)&lt;&gt;1),"ID ausente ou duplicado",IF(OR(NOT(ISNUMBER(B120)),B120&lt;=0),"Data ausente ou inválida",IF(AND(C120&lt;&gt;"Entrada",C120&lt;&gt;"Saída",C120&lt;&gt;"Perda",C120&lt;&gt;"Ajuste positivo",C120&lt;&gt;"Ajuste negativo"),"Tipo de movimento inválido",IF(OR(D120="",COUNTIFS(Lotes!$A$5:$A$204,D120)&lt;&gt;1),"Lote ausente ou desconhecido",IF(COUNTIFS(Lotes!$A$5:$A$204,D120,Lotes!$S$5:$S$204,"?*")&gt;0,"Revisar cadastro do lote",IF(B120&lt;INDEX(Lotes!$E$5:$E$204,MATCH(D120,Lotes!$A$5:$A$204,0)),"Movimento anterior ao recebimento",IF(OR(NOT(ISNUMBER(G120)),G120&lt;=0),"Quantidade ausente ou inválida",""))))))))</x:f>
      </x:c>
      <x:c r="P120" s="163" t="n">
        <x:f>IF(O120="",0,1)</x:f>
        <x:v>0</x:v>
      </x:c>
      <x:c r="Q120" s="163" t="n">
        <x:f>IF(COUNTA(A120:D120,G120,K120:N120)=0,0,IF(OR(Listas!$B$19="Todos",E120=Listas!$B$19,E120="",COUNTIFS(Lotes!$A$5:$A$204,D120)&lt;&gt;1),1,0))</x:f>
        <x:v>0</x:v>
      </x:c>
      <x:c r="R120" s="1"/>
      <x:c r="S120" s="1"/>
      <x:c r="T120" s="1"/>
      <x:c r="U120" s="1"/>
      <x:c r="V120" s="1"/>
      <x:c r="W120" s="1"/>
    </x:row>
    <x:row r="121" ht="32" customHeight="1">
      <x:c r="A121" s="170"/>
      <x:c r="B121" s="179"/>
      <x:c r="C121" s="170"/>
      <x:c r="D121" s="170"/>
      <x:c r="E121" s="40" t="str">
        <x:f>IF($D121="","",IFERROR(INDEX(Lotes!$B$5:$B$204,MATCH($D121,Lotes!$A$5:$A$204,0)),""))</x:f>
      </x:c>
      <x:c r="F121" s="40" t="str">
        <x:f>IF($D121="","",IFERROR(INDEX(Lotes!$C$5:$C$204,MATCH($D121,Lotes!$A$5:$A$204,0)),""))</x:f>
      </x:c>
      <x:c r="G121" s="27"/>
      <x:c r="H121" s="40" t="str">
        <x:f>IF(A121="","",IF(O121&lt;&gt;"","n.a.",IF(OR(C121="Saída",C121="Perda",C121="Ajuste negativo"),-G121,G121)))</x:f>
      </x:c>
      <x:c r="I121" s="181" t="str">
        <x:f>IF($D121="","",IFERROR(INDEX(Lotes!$K$5:$K$204,MATCH($D121,Lotes!$A$5:$A$204,0)),0))</x:f>
      </x:c>
      <x:c r="J121" s="181" t="str">
        <x:f>IF(A121="","",IF(O121&lt;&gt;"","n.a.",ABS(H121)*I121))</x:f>
      </x:c>
      <x:c r="K121" s="27"/>
      <x:c r="L121" s="27"/>
      <x:c r="M121" s="27"/>
      <x:c r="N121" s="27"/>
      <x:c r="O121" s="163" t="str">
        <x:f>IF(COUNTA(A121:D121,G121,K121:N121)=0,"",IF(OR(A121="",COUNTIFS($A$5:$A$304,A121)&lt;&gt;1),"ID ausente ou duplicado",IF(OR(NOT(ISNUMBER(B121)),B121&lt;=0),"Data ausente ou inválida",IF(AND(C121&lt;&gt;"Entrada",C121&lt;&gt;"Saída",C121&lt;&gt;"Perda",C121&lt;&gt;"Ajuste positivo",C121&lt;&gt;"Ajuste negativo"),"Tipo de movimento inválido",IF(OR(D121="",COUNTIFS(Lotes!$A$5:$A$204,D121)&lt;&gt;1),"Lote ausente ou desconhecido",IF(COUNTIFS(Lotes!$A$5:$A$204,D121,Lotes!$S$5:$S$204,"?*")&gt;0,"Revisar cadastro do lote",IF(B121&lt;INDEX(Lotes!$E$5:$E$204,MATCH(D121,Lotes!$A$5:$A$204,0)),"Movimento anterior ao recebimento",IF(OR(NOT(ISNUMBER(G121)),G121&lt;=0),"Quantidade ausente ou inválida",""))))))))</x:f>
      </x:c>
      <x:c r="P121" s="163" t="n">
        <x:f>IF(O121="",0,1)</x:f>
        <x:v>0</x:v>
      </x:c>
      <x:c r="Q121" s="163" t="n">
        <x:f>IF(COUNTA(A121:D121,G121,K121:N121)=0,0,IF(OR(Listas!$B$19="Todos",E121=Listas!$B$19,E121="",COUNTIFS(Lotes!$A$5:$A$204,D121)&lt;&gt;1),1,0))</x:f>
        <x:v>0</x:v>
      </x:c>
      <x:c r="R121" s="1"/>
      <x:c r="S121" s="1"/>
      <x:c r="T121" s="1"/>
      <x:c r="U121" s="1"/>
      <x:c r="V121" s="1"/>
      <x:c r="W121" s="1"/>
    </x:row>
    <x:row r="122" ht="32" customHeight="1">
      <x:c r="A122" s="170"/>
      <x:c r="B122" s="179"/>
      <x:c r="C122" s="170"/>
      <x:c r="D122" s="170"/>
      <x:c r="E122" s="40" t="str">
        <x:f>IF($D122="","",IFERROR(INDEX(Lotes!$B$5:$B$204,MATCH($D122,Lotes!$A$5:$A$204,0)),""))</x:f>
      </x:c>
      <x:c r="F122" s="40" t="str">
        <x:f>IF($D122="","",IFERROR(INDEX(Lotes!$C$5:$C$204,MATCH($D122,Lotes!$A$5:$A$204,0)),""))</x:f>
      </x:c>
      <x:c r="G122" s="27"/>
      <x:c r="H122" s="40" t="str">
        <x:f>IF(A122="","",IF(O122&lt;&gt;"","n.a.",IF(OR(C122="Saída",C122="Perda",C122="Ajuste negativo"),-G122,G122)))</x:f>
      </x:c>
      <x:c r="I122" s="181" t="str">
        <x:f>IF($D122="","",IFERROR(INDEX(Lotes!$K$5:$K$204,MATCH($D122,Lotes!$A$5:$A$204,0)),0))</x:f>
      </x:c>
      <x:c r="J122" s="181" t="str">
        <x:f>IF(A122="","",IF(O122&lt;&gt;"","n.a.",ABS(H122)*I122))</x:f>
      </x:c>
      <x:c r="K122" s="27"/>
      <x:c r="L122" s="27"/>
      <x:c r="M122" s="27"/>
      <x:c r="N122" s="27"/>
      <x:c r="O122" s="163" t="str">
        <x:f>IF(COUNTA(A122:D122,G122,K122:N122)=0,"",IF(OR(A122="",COUNTIFS($A$5:$A$304,A122)&lt;&gt;1),"ID ausente ou duplicado",IF(OR(NOT(ISNUMBER(B122)),B122&lt;=0),"Data ausente ou inválida",IF(AND(C122&lt;&gt;"Entrada",C122&lt;&gt;"Saída",C122&lt;&gt;"Perda",C122&lt;&gt;"Ajuste positivo",C122&lt;&gt;"Ajuste negativo"),"Tipo de movimento inválido",IF(OR(D122="",COUNTIFS(Lotes!$A$5:$A$204,D122)&lt;&gt;1),"Lote ausente ou desconhecido",IF(COUNTIFS(Lotes!$A$5:$A$204,D122,Lotes!$S$5:$S$204,"?*")&gt;0,"Revisar cadastro do lote",IF(B122&lt;INDEX(Lotes!$E$5:$E$204,MATCH(D122,Lotes!$A$5:$A$204,0)),"Movimento anterior ao recebimento",IF(OR(NOT(ISNUMBER(G122)),G122&lt;=0),"Quantidade ausente ou inválida",""))))))))</x:f>
      </x:c>
      <x:c r="P122" s="163" t="n">
        <x:f>IF(O122="",0,1)</x:f>
        <x:v>0</x:v>
      </x:c>
      <x:c r="Q122" s="163" t="n">
        <x:f>IF(COUNTA(A122:D122,G122,K122:N122)=0,0,IF(OR(Listas!$B$19="Todos",E122=Listas!$B$19,E122="",COUNTIFS(Lotes!$A$5:$A$204,D122)&lt;&gt;1),1,0))</x:f>
        <x:v>0</x:v>
      </x:c>
      <x:c r="R122" s="1"/>
      <x:c r="S122" s="1"/>
      <x:c r="T122" s="1"/>
      <x:c r="U122" s="1"/>
      <x:c r="V122" s="1"/>
      <x:c r="W122" s="1"/>
    </x:row>
    <x:row r="123" ht="32" customHeight="1">
      <x:c r="A123" s="170"/>
      <x:c r="B123" s="179"/>
      <x:c r="C123" s="170"/>
      <x:c r="D123" s="170"/>
      <x:c r="E123" s="40" t="str">
        <x:f>IF($D123="","",IFERROR(INDEX(Lotes!$B$5:$B$204,MATCH($D123,Lotes!$A$5:$A$204,0)),""))</x:f>
      </x:c>
      <x:c r="F123" s="40" t="str">
        <x:f>IF($D123="","",IFERROR(INDEX(Lotes!$C$5:$C$204,MATCH($D123,Lotes!$A$5:$A$204,0)),""))</x:f>
      </x:c>
      <x:c r="G123" s="27"/>
      <x:c r="H123" s="40" t="str">
        <x:f>IF(A123="","",IF(O123&lt;&gt;"","n.a.",IF(OR(C123="Saída",C123="Perda",C123="Ajuste negativo"),-G123,G123)))</x:f>
      </x:c>
      <x:c r="I123" s="181" t="str">
        <x:f>IF($D123="","",IFERROR(INDEX(Lotes!$K$5:$K$204,MATCH($D123,Lotes!$A$5:$A$204,0)),0))</x:f>
      </x:c>
      <x:c r="J123" s="181" t="str">
        <x:f>IF(A123="","",IF(O123&lt;&gt;"","n.a.",ABS(H123)*I123))</x:f>
      </x:c>
      <x:c r="K123" s="27"/>
      <x:c r="L123" s="27"/>
      <x:c r="M123" s="27"/>
      <x:c r="N123" s="27"/>
      <x:c r="O123" s="163" t="str">
        <x:f>IF(COUNTA(A123:D123,G123,K123:N123)=0,"",IF(OR(A123="",COUNTIFS($A$5:$A$304,A123)&lt;&gt;1),"ID ausente ou duplicado",IF(OR(NOT(ISNUMBER(B123)),B123&lt;=0),"Data ausente ou inválida",IF(AND(C123&lt;&gt;"Entrada",C123&lt;&gt;"Saída",C123&lt;&gt;"Perda",C123&lt;&gt;"Ajuste positivo",C123&lt;&gt;"Ajuste negativo"),"Tipo de movimento inválido",IF(OR(D123="",COUNTIFS(Lotes!$A$5:$A$204,D123)&lt;&gt;1),"Lote ausente ou desconhecido",IF(COUNTIFS(Lotes!$A$5:$A$204,D123,Lotes!$S$5:$S$204,"?*")&gt;0,"Revisar cadastro do lote",IF(B123&lt;INDEX(Lotes!$E$5:$E$204,MATCH(D123,Lotes!$A$5:$A$204,0)),"Movimento anterior ao recebimento",IF(OR(NOT(ISNUMBER(G123)),G123&lt;=0),"Quantidade ausente ou inválida",""))))))))</x:f>
      </x:c>
      <x:c r="P123" s="163" t="n">
        <x:f>IF(O123="",0,1)</x:f>
        <x:v>0</x:v>
      </x:c>
      <x:c r="Q123" s="163" t="n">
        <x:f>IF(COUNTA(A123:D123,G123,K123:N123)=0,0,IF(OR(Listas!$B$19="Todos",E123=Listas!$B$19,E123="",COUNTIFS(Lotes!$A$5:$A$204,D123)&lt;&gt;1),1,0))</x:f>
        <x:v>0</x:v>
      </x:c>
      <x:c r="R123" s="1"/>
      <x:c r="S123" s="1"/>
      <x:c r="T123" s="1"/>
      <x:c r="U123" s="1"/>
      <x:c r="V123" s="1"/>
      <x:c r="W123" s="1"/>
    </x:row>
    <x:row r="124" ht="32" customHeight="1">
      <x:c r="A124" s="170"/>
      <x:c r="B124" s="179"/>
      <x:c r="C124" s="170"/>
      <x:c r="D124" s="170"/>
      <x:c r="E124" s="40" t="str">
        <x:f>IF($D124="","",IFERROR(INDEX(Lotes!$B$5:$B$204,MATCH($D124,Lotes!$A$5:$A$204,0)),""))</x:f>
      </x:c>
      <x:c r="F124" s="40" t="str">
        <x:f>IF($D124="","",IFERROR(INDEX(Lotes!$C$5:$C$204,MATCH($D124,Lotes!$A$5:$A$204,0)),""))</x:f>
      </x:c>
      <x:c r="G124" s="27"/>
      <x:c r="H124" s="40" t="str">
        <x:f>IF(A124="","",IF(O124&lt;&gt;"","n.a.",IF(OR(C124="Saída",C124="Perda",C124="Ajuste negativo"),-G124,G124)))</x:f>
      </x:c>
      <x:c r="I124" s="181" t="str">
        <x:f>IF($D124="","",IFERROR(INDEX(Lotes!$K$5:$K$204,MATCH($D124,Lotes!$A$5:$A$204,0)),0))</x:f>
      </x:c>
      <x:c r="J124" s="181" t="str">
        <x:f>IF(A124="","",IF(O124&lt;&gt;"","n.a.",ABS(H124)*I124))</x:f>
      </x:c>
      <x:c r="K124" s="27"/>
      <x:c r="L124" s="27"/>
      <x:c r="M124" s="27"/>
      <x:c r="N124" s="27"/>
      <x:c r="O124" s="163" t="str">
        <x:f>IF(COUNTA(A124:D124,G124,K124:N124)=0,"",IF(OR(A124="",COUNTIFS($A$5:$A$304,A124)&lt;&gt;1),"ID ausente ou duplicado",IF(OR(NOT(ISNUMBER(B124)),B124&lt;=0),"Data ausente ou inválida",IF(AND(C124&lt;&gt;"Entrada",C124&lt;&gt;"Saída",C124&lt;&gt;"Perda",C124&lt;&gt;"Ajuste positivo",C124&lt;&gt;"Ajuste negativo"),"Tipo de movimento inválido",IF(OR(D124="",COUNTIFS(Lotes!$A$5:$A$204,D124)&lt;&gt;1),"Lote ausente ou desconhecido",IF(COUNTIFS(Lotes!$A$5:$A$204,D124,Lotes!$S$5:$S$204,"?*")&gt;0,"Revisar cadastro do lote",IF(B124&lt;INDEX(Lotes!$E$5:$E$204,MATCH(D124,Lotes!$A$5:$A$204,0)),"Movimento anterior ao recebimento",IF(OR(NOT(ISNUMBER(G124)),G124&lt;=0),"Quantidade ausente ou inválida",""))))))))</x:f>
      </x:c>
      <x:c r="P124" s="163" t="n">
        <x:f>IF(O124="",0,1)</x:f>
        <x:v>0</x:v>
      </x:c>
      <x:c r="Q124" s="163" t="n">
        <x:f>IF(COUNTA(A124:D124,G124,K124:N124)=0,0,IF(OR(Listas!$B$19="Todos",E124=Listas!$B$19,E124="",COUNTIFS(Lotes!$A$5:$A$204,D124)&lt;&gt;1),1,0))</x:f>
        <x:v>0</x:v>
      </x:c>
      <x:c r="R124" s="1"/>
      <x:c r="S124" s="1"/>
      <x:c r="T124" s="1"/>
      <x:c r="U124" s="1"/>
      <x:c r="V124" s="1"/>
      <x:c r="W124" s="1"/>
    </x:row>
    <x:row r="125" ht="32" customHeight="1">
      <x:c r="A125" s="170"/>
      <x:c r="B125" s="179"/>
      <x:c r="C125" s="170"/>
      <x:c r="D125" s="170"/>
      <x:c r="E125" s="40" t="str">
        <x:f>IF($D125="","",IFERROR(INDEX(Lotes!$B$5:$B$204,MATCH($D125,Lotes!$A$5:$A$204,0)),""))</x:f>
      </x:c>
      <x:c r="F125" s="40" t="str">
        <x:f>IF($D125="","",IFERROR(INDEX(Lotes!$C$5:$C$204,MATCH($D125,Lotes!$A$5:$A$204,0)),""))</x:f>
      </x:c>
      <x:c r="G125" s="27"/>
      <x:c r="H125" s="40" t="str">
        <x:f>IF(A125="","",IF(O125&lt;&gt;"","n.a.",IF(OR(C125="Saída",C125="Perda",C125="Ajuste negativo"),-G125,G125)))</x:f>
      </x:c>
      <x:c r="I125" s="181" t="str">
        <x:f>IF($D125="","",IFERROR(INDEX(Lotes!$K$5:$K$204,MATCH($D125,Lotes!$A$5:$A$204,0)),0))</x:f>
      </x:c>
      <x:c r="J125" s="181" t="str">
        <x:f>IF(A125="","",IF(O125&lt;&gt;"","n.a.",ABS(H125)*I125))</x:f>
      </x:c>
      <x:c r="K125" s="27"/>
      <x:c r="L125" s="27"/>
      <x:c r="M125" s="27"/>
      <x:c r="N125" s="27"/>
      <x:c r="O125" s="163" t="str">
        <x:f>IF(COUNTA(A125:D125,G125,K125:N125)=0,"",IF(OR(A125="",COUNTIFS($A$5:$A$304,A125)&lt;&gt;1),"ID ausente ou duplicado",IF(OR(NOT(ISNUMBER(B125)),B125&lt;=0),"Data ausente ou inválida",IF(AND(C125&lt;&gt;"Entrada",C125&lt;&gt;"Saída",C125&lt;&gt;"Perda",C125&lt;&gt;"Ajuste positivo",C125&lt;&gt;"Ajuste negativo"),"Tipo de movimento inválido",IF(OR(D125="",COUNTIFS(Lotes!$A$5:$A$204,D125)&lt;&gt;1),"Lote ausente ou desconhecido",IF(COUNTIFS(Lotes!$A$5:$A$204,D125,Lotes!$S$5:$S$204,"?*")&gt;0,"Revisar cadastro do lote",IF(B125&lt;INDEX(Lotes!$E$5:$E$204,MATCH(D125,Lotes!$A$5:$A$204,0)),"Movimento anterior ao recebimento",IF(OR(NOT(ISNUMBER(G125)),G125&lt;=0),"Quantidade ausente ou inválida",""))))))))</x:f>
      </x:c>
      <x:c r="P125" s="163" t="n">
        <x:f>IF(O125="",0,1)</x:f>
        <x:v>0</x:v>
      </x:c>
      <x:c r="Q125" s="163" t="n">
        <x:f>IF(COUNTA(A125:D125,G125,K125:N125)=0,0,IF(OR(Listas!$B$19="Todos",E125=Listas!$B$19,E125="",COUNTIFS(Lotes!$A$5:$A$204,D125)&lt;&gt;1),1,0))</x:f>
        <x:v>0</x:v>
      </x:c>
      <x:c r="R125" s="1"/>
      <x:c r="S125" s="1"/>
      <x:c r="T125" s="1"/>
      <x:c r="U125" s="1"/>
      <x:c r="V125" s="1"/>
      <x:c r="W125" s="1"/>
    </x:row>
    <x:row r="126" ht="32" customHeight="1">
      <x:c r="A126" s="170"/>
      <x:c r="B126" s="179"/>
      <x:c r="C126" s="170"/>
      <x:c r="D126" s="170"/>
      <x:c r="E126" s="40" t="str">
        <x:f>IF($D126="","",IFERROR(INDEX(Lotes!$B$5:$B$204,MATCH($D126,Lotes!$A$5:$A$204,0)),""))</x:f>
      </x:c>
      <x:c r="F126" s="40" t="str">
        <x:f>IF($D126="","",IFERROR(INDEX(Lotes!$C$5:$C$204,MATCH($D126,Lotes!$A$5:$A$204,0)),""))</x:f>
      </x:c>
      <x:c r="G126" s="27"/>
      <x:c r="H126" s="40" t="str">
        <x:f>IF(A126="","",IF(O126&lt;&gt;"","n.a.",IF(OR(C126="Saída",C126="Perda",C126="Ajuste negativo"),-G126,G126)))</x:f>
      </x:c>
      <x:c r="I126" s="181" t="str">
        <x:f>IF($D126="","",IFERROR(INDEX(Lotes!$K$5:$K$204,MATCH($D126,Lotes!$A$5:$A$204,0)),0))</x:f>
      </x:c>
      <x:c r="J126" s="181" t="str">
        <x:f>IF(A126="","",IF(O126&lt;&gt;"","n.a.",ABS(H126)*I126))</x:f>
      </x:c>
      <x:c r="K126" s="27"/>
      <x:c r="L126" s="27"/>
      <x:c r="M126" s="27"/>
      <x:c r="N126" s="27"/>
      <x:c r="O126" s="163" t="str">
        <x:f>IF(COUNTA(A126:D126,G126,K126:N126)=0,"",IF(OR(A126="",COUNTIFS($A$5:$A$304,A126)&lt;&gt;1),"ID ausente ou duplicado",IF(OR(NOT(ISNUMBER(B126)),B126&lt;=0),"Data ausente ou inválida",IF(AND(C126&lt;&gt;"Entrada",C126&lt;&gt;"Saída",C126&lt;&gt;"Perda",C126&lt;&gt;"Ajuste positivo",C126&lt;&gt;"Ajuste negativo"),"Tipo de movimento inválido",IF(OR(D126="",COUNTIFS(Lotes!$A$5:$A$204,D126)&lt;&gt;1),"Lote ausente ou desconhecido",IF(COUNTIFS(Lotes!$A$5:$A$204,D126,Lotes!$S$5:$S$204,"?*")&gt;0,"Revisar cadastro do lote",IF(B126&lt;INDEX(Lotes!$E$5:$E$204,MATCH(D126,Lotes!$A$5:$A$204,0)),"Movimento anterior ao recebimento",IF(OR(NOT(ISNUMBER(G126)),G126&lt;=0),"Quantidade ausente ou inválida",""))))))))</x:f>
      </x:c>
      <x:c r="P126" s="163" t="n">
        <x:f>IF(O126="",0,1)</x:f>
        <x:v>0</x:v>
      </x:c>
      <x:c r="Q126" s="163" t="n">
        <x:f>IF(COUNTA(A126:D126,G126,K126:N126)=0,0,IF(OR(Listas!$B$19="Todos",E126=Listas!$B$19,E126="",COUNTIFS(Lotes!$A$5:$A$204,D126)&lt;&gt;1),1,0))</x:f>
        <x:v>0</x:v>
      </x:c>
      <x:c r="R126" s="1"/>
      <x:c r="S126" s="1"/>
      <x:c r="T126" s="1"/>
      <x:c r="U126" s="1"/>
      <x:c r="V126" s="1"/>
      <x:c r="W126" s="1"/>
    </x:row>
    <x:row r="127" ht="32" customHeight="1">
      <x:c r="A127" s="170"/>
      <x:c r="B127" s="179"/>
      <x:c r="C127" s="170"/>
      <x:c r="D127" s="170"/>
      <x:c r="E127" s="40" t="str">
        <x:f>IF($D127="","",IFERROR(INDEX(Lotes!$B$5:$B$204,MATCH($D127,Lotes!$A$5:$A$204,0)),""))</x:f>
      </x:c>
      <x:c r="F127" s="40" t="str">
        <x:f>IF($D127="","",IFERROR(INDEX(Lotes!$C$5:$C$204,MATCH($D127,Lotes!$A$5:$A$204,0)),""))</x:f>
      </x:c>
      <x:c r="G127" s="27"/>
      <x:c r="H127" s="40" t="str">
        <x:f>IF(A127="","",IF(O127&lt;&gt;"","n.a.",IF(OR(C127="Saída",C127="Perda",C127="Ajuste negativo"),-G127,G127)))</x:f>
      </x:c>
      <x:c r="I127" s="181" t="str">
        <x:f>IF($D127="","",IFERROR(INDEX(Lotes!$K$5:$K$204,MATCH($D127,Lotes!$A$5:$A$204,0)),0))</x:f>
      </x:c>
      <x:c r="J127" s="181" t="str">
        <x:f>IF(A127="","",IF(O127&lt;&gt;"","n.a.",ABS(H127)*I127))</x:f>
      </x:c>
      <x:c r="K127" s="27"/>
      <x:c r="L127" s="27"/>
      <x:c r="M127" s="27"/>
      <x:c r="N127" s="27"/>
      <x:c r="O127" s="163" t="str">
        <x:f>IF(COUNTA(A127:D127,G127,K127:N127)=0,"",IF(OR(A127="",COUNTIFS($A$5:$A$304,A127)&lt;&gt;1),"ID ausente ou duplicado",IF(OR(NOT(ISNUMBER(B127)),B127&lt;=0),"Data ausente ou inválida",IF(AND(C127&lt;&gt;"Entrada",C127&lt;&gt;"Saída",C127&lt;&gt;"Perda",C127&lt;&gt;"Ajuste positivo",C127&lt;&gt;"Ajuste negativo"),"Tipo de movimento inválido",IF(OR(D127="",COUNTIFS(Lotes!$A$5:$A$204,D127)&lt;&gt;1),"Lote ausente ou desconhecido",IF(COUNTIFS(Lotes!$A$5:$A$204,D127,Lotes!$S$5:$S$204,"?*")&gt;0,"Revisar cadastro do lote",IF(B127&lt;INDEX(Lotes!$E$5:$E$204,MATCH(D127,Lotes!$A$5:$A$204,0)),"Movimento anterior ao recebimento",IF(OR(NOT(ISNUMBER(G127)),G127&lt;=0),"Quantidade ausente ou inválida",""))))))))</x:f>
      </x:c>
      <x:c r="P127" s="163" t="n">
        <x:f>IF(O127="",0,1)</x:f>
        <x:v>0</x:v>
      </x:c>
      <x:c r="Q127" s="163" t="n">
        <x:f>IF(COUNTA(A127:D127,G127,K127:N127)=0,0,IF(OR(Listas!$B$19="Todos",E127=Listas!$B$19,E127="",COUNTIFS(Lotes!$A$5:$A$204,D127)&lt;&gt;1),1,0))</x:f>
        <x:v>0</x:v>
      </x:c>
      <x:c r="R127" s="1"/>
      <x:c r="S127" s="1"/>
      <x:c r="T127" s="1"/>
      <x:c r="U127" s="1"/>
      <x:c r="V127" s="1"/>
      <x:c r="W127" s="1"/>
    </x:row>
    <x:row r="128" ht="32" customHeight="1">
      <x:c r="A128" s="170"/>
      <x:c r="B128" s="179"/>
      <x:c r="C128" s="170"/>
      <x:c r="D128" s="170"/>
      <x:c r="E128" s="40" t="str">
        <x:f>IF($D128="","",IFERROR(INDEX(Lotes!$B$5:$B$204,MATCH($D128,Lotes!$A$5:$A$204,0)),""))</x:f>
      </x:c>
      <x:c r="F128" s="40" t="str">
        <x:f>IF($D128="","",IFERROR(INDEX(Lotes!$C$5:$C$204,MATCH($D128,Lotes!$A$5:$A$204,0)),""))</x:f>
      </x:c>
      <x:c r="G128" s="27"/>
      <x:c r="H128" s="40" t="str">
        <x:f>IF(A128="","",IF(O128&lt;&gt;"","n.a.",IF(OR(C128="Saída",C128="Perda",C128="Ajuste negativo"),-G128,G128)))</x:f>
      </x:c>
      <x:c r="I128" s="181" t="str">
        <x:f>IF($D128="","",IFERROR(INDEX(Lotes!$K$5:$K$204,MATCH($D128,Lotes!$A$5:$A$204,0)),0))</x:f>
      </x:c>
      <x:c r="J128" s="181" t="str">
        <x:f>IF(A128="","",IF(O128&lt;&gt;"","n.a.",ABS(H128)*I128))</x:f>
      </x:c>
      <x:c r="K128" s="27"/>
      <x:c r="L128" s="27"/>
      <x:c r="M128" s="27"/>
      <x:c r="N128" s="27"/>
      <x:c r="O128" s="163" t="str">
        <x:f>IF(COUNTA(A128:D128,G128,K128:N128)=0,"",IF(OR(A128="",COUNTIFS($A$5:$A$304,A128)&lt;&gt;1),"ID ausente ou duplicado",IF(OR(NOT(ISNUMBER(B128)),B128&lt;=0),"Data ausente ou inválida",IF(AND(C128&lt;&gt;"Entrada",C128&lt;&gt;"Saída",C128&lt;&gt;"Perda",C128&lt;&gt;"Ajuste positivo",C128&lt;&gt;"Ajuste negativo"),"Tipo de movimento inválido",IF(OR(D128="",COUNTIFS(Lotes!$A$5:$A$204,D128)&lt;&gt;1),"Lote ausente ou desconhecido",IF(COUNTIFS(Lotes!$A$5:$A$204,D128,Lotes!$S$5:$S$204,"?*")&gt;0,"Revisar cadastro do lote",IF(B128&lt;INDEX(Lotes!$E$5:$E$204,MATCH(D128,Lotes!$A$5:$A$204,0)),"Movimento anterior ao recebimento",IF(OR(NOT(ISNUMBER(G128)),G128&lt;=0),"Quantidade ausente ou inválida",""))))))))</x:f>
      </x:c>
      <x:c r="P128" s="163" t="n">
        <x:f>IF(O128="",0,1)</x:f>
        <x:v>0</x:v>
      </x:c>
      <x:c r="Q128" s="163" t="n">
        <x:f>IF(COUNTA(A128:D128,G128,K128:N128)=0,0,IF(OR(Listas!$B$19="Todos",E128=Listas!$B$19,E128="",COUNTIFS(Lotes!$A$5:$A$204,D128)&lt;&gt;1),1,0))</x:f>
        <x:v>0</x:v>
      </x:c>
      <x:c r="R128" s="1"/>
      <x:c r="S128" s="1"/>
      <x:c r="T128" s="1"/>
      <x:c r="U128" s="1"/>
      <x:c r="V128" s="1"/>
      <x:c r="W128" s="1"/>
    </x:row>
    <x:row r="129" ht="32" customHeight="1">
      <x:c r="A129" s="170"/>
      <x:c r="B129" s="179"/>
      <x:c r="C129" s="170"/>
      <x:c r="D129" s="170"/>
      <x:c r="E129" s="40" t="str">
        <x:f>IF($D129="","",IFERROR(INDEX(Lotes!$B$5:$B$204,MATCH($D129,Lotes!$A$5:$A$204,0)),""))</x:f>
      </x:c>
      <x:c r="F129" s="40" t="str">
        <x:f>IF($D129="","",IFERROR(INDEX(Lotes!$C$5:$C$204,MATCH($D129,Lotes!$A$5:$A$204,0)),""))</x:f>
      </x:c>
      <x:c r="G129" s="27"/>
      <x:c r="H129" s="40" t="str">
        <x:f>IF(A129="","",IF(O129&lt;&gt;"","n.a.",IF(OR(C129="Saída",C129="Perda",C129="Ajuste negativo"),-G129,G129)))</x:f>
      </x:c>
      <x:c r="I129" s="181" t="str">
        <x:f>IF($D129="","",IFERROR(INDEX(Lotes!$K$5:$K$204,MATCH($D129,Lotes!$A$5:$A$204,0)),0))</x:f>
      </x:c>
      <x:c r="J129" s="181" t="str">
        <x:f>IF(A129="","",IF(O129&lt;&gt;"","n.a.",ABS(H129)*I129))</x:f>
      </x:c>
      <x:c r="K129" s="27"/>
      <x:c r="L129" s="27"/>
      <x:c r="M129" s="27"/>
      <x:c r="N129" s="27"/>
      <x:c r="O129" s="163" t="str">
        <x:f>IF(COUNTA(A129:D129,G129,K129:N129)=0,"",IF(OR(A129="",COUNTIFS($A$5:$A$304,A129)&lt;&gt;1),"ID ausente ou duplicado",IF(OR(NOT(ISNUMBER(B129)),B129&lt;=0),"Data ausente ou inválida",IF(AND(C129&lt;&gt;"Entrada",C129&lt;&gt;"Saída",C129&lt;&gt;"Perda",C129&lt;&gt;"Ajuste positivo",C129&lt;&gt;"Ajuste negativo"),"Tipo de movimento inválido",IF(OR(D129="",COUNTIFS(Lotes!$A$5:$A$204,D129)&lt;&gt;1),"Lote ausente ou desconhecido",IF(COUNTIFS(Lotes!$A$5:$A$204,D129,Lotes!$S$5:$S$204,"?*")&gt;0,"Revisar cadastro do lote",IF(B129&lt;INDEX(Lotes!$E$5:$E$204,MATCH(D129,Lotes!$A$5:$A$204,0)),"Movimento anterior ao recebimento",IF(OR(NOT(ISNUMBER(G129)),G129&lt;=0),"Quantidade ausente ou inválida",""))))))))</x:f>
      </x:c>
      <x:c r="P129" s="163" t="n">
        <x:f>IF(O129="",0,1)</x:f>
        <x:v>0</x:v>
      </x:c>
      <x:c r="Q129" s="163" t="n">
        <x:f>IF(COUNTA(A129:D129,G129,K129:N129)=0,0,IF(OR(Listas!$B$19="Todos",E129=Listas!$B$19,E129="",COUNTIFS(Lotes!$A$5:$A$204,D129)&lt;&gt;1),1,0))</x:f>
        <x:v>0</x:v>
      </x:c>
      <x:c r="R129" s="1"/>
      <x:c r="S129" s="1"/>
      <x:c r="T129" s="1"/>
      <x:c r="U129" s="1"/>
      <x:c r="V129" s="1"/>
      <x:c r="W129" s="1"/>
    </x:row>
    <x:row r="130" ht="32" customHeight="1">
      <x:c r="A130" s="170"/>
      <x:c r="B130" s="179"/>
      <x:c r="C130" s="170"/>
      <x:c r="D130" s="170"/>
      <x:c r="E130" s="40" t="str">
        <x:f>IF($D130="","",IFERROR(INDEX(Lotes!$B$5:$B$204,MATCH($D130,Lotes!$A$5:$A$204,0)),""))</x:f>
      </x:c>
      <x:c r="F130" s="40" t="str">
        <x:f>IF($D130="","",IFERROR(INDEX(Lotes!$C$5:$C$204,MATCH($D130,Lotes!$A$5:$A$204,0)),""))</x:f>
      </x:c>
      <x:c r="G130" s="27"/>
      <x:c r="H130" s="40" t="str">
        <x:f>IF(A130="","",IF(O130&lt;&gt;"","n.a.",IF(OR(C130="Saída",C130="Perda",C130="Ajuste negativo"),-G130,G130)))</x:f>
      </x:c>
      <x:c r="I130" s="181" t="str">
        <x:f>IF($D130="","",IFERROR(INDEX(Lotes!$K$5:$K$204,MATCH($D130,Lotes!$A$5:$A$204,0)),0))</x:f>
      </x:c>
      <x:c r="J130" s="181" t="str">
        <x:f>IF(A130="","",IF(O130&lt;&gt;"","n.a.",ABS(H130)*I130))</x:f>
      </x:c>
      <x:c r="K130" s="27"/>
      <x:c r="L130" s="27"/>
      <x:c r="M130" s="27"/>
      <x:c r="N130" s="27"/>
      <x:c r="O130" s="163" t="str">
        <x:f>IF(COUNTA(A130:D130,G130,K130:N130)=0,"",IF(OR(A130="",COUNTIFS($A$5:$A$304,A130)&lt;&gt;1),"ID ausente ou duplicado",IF(OR(NOT(ISNUMBER(B130)),B130&lt;=0),"Data ausente ou inválida",IF(AND(C130&lt;&gt;"Entrada",C130&lt;&gt;"Saída",C130&lt;&gt;"Perda",C130&lt;&gt;"Ajuste positivo",C130&lt;&gt;"Ajuste negativo"),"Tipo de movimento inválido",IF(OR(D130="",COUNTIFS(Lotes!$A$5:$A$204,D130)&lt;&gt;1),"Lote ausente ou desconhecido",IF(COUNTIFS(Lotes!$A$5:$A$204,D130,Lotes!$S$5:$S$204,"?*")&gt;0,"Revisar cadastro do lote",IF(B130&lt;INDEX(Lotes!$E$5:$E$204,MATCH(D130,Lotes!$A$5:$A$204,0)),"Movimento anterior ao recebimento",IF(OR(NOT(ISNUMBER(G130)),G130&lt;=0),"Quantidade ausente ou inválida",""))))))))</x:f>
      </x:c>
      <x:c r="P130" s="163" t="n">
        <x:f>IF(O130="",0,1)</x:f>
        <x:v>0</x:v>
      </x:c>
      <x:c r="Q130" s="163" t="n">
        <x:f>IF(COUNTA(A130:D130,G130,K130:N130)=0,0,IF(OR(Listas!$B$19="Todos",E130=Listas!$B$19,E130="",COUNTIFS(Lotes!$A$5:$A$204,D130)&lt;&gt;1),1,0))</x:f>
        <x:v>0</x:v>
      </x:c>
      <x:c r="R130" s="1"/>
      <x:c r="S130" s="1"/>
      <x:c r="T130" s="1"/>
      <x:c r="U130" s="1"/>
      <x:c r="V130" s="1"/>
      <x:c r="W130" s="1"/>
    </x:row>
    <x:row r="131" ht="32" customHeight="1">
      <x:c r="A131" s="170"/>
      <x:c r="B131" s="179"/>
      <x:c r="C131" s="170"/>
      <x:c r="D131" s="170"/>
      <x:c r="E131" s="40" t="str">
        <x:f>IF($D131="","",IFERROR(INDEX(Lotes!$B$5:$B$204,MATCH($D131,Lotes!$A$5:$A$204,0)),""))</x:f>
      </x:c>
      <x:c r="F131" s="40" t="str">
        <x:f>IF($D131="","",IFERROR(INDEX(Lotes!$C$5:$C$204,MATCH($D131,Lotes!$A$5:$A$204,0)),""))</x:f>
      </x:c>
      <x:c r="G131" s="27"/>
      <x:c r="H131" s="40" t="str">
        <x:f>IF(A131="","",IF(O131&lt;&gt;"","n.a.",IF(OR(C131="Saída",C131="Perda",C131="Ajuste negativo"),-G131,G131)))</x:f>
      </x:c>
      <x:c r="I131" s="181" t="str">
        <x:f>IF($D131="","",IFERROR(INDEX(Lotes!$K$5:$K$204,MATCH($D131,Lotes!$A$5:$A$204,0)),0))</x:f>
      </x:c>
      <x:c r="J131" s="181" t="str">
        <x:f>IF(A131="","",IF(O131&lt;&gt;"","n.a.",ABS(H131)*I131))</x:f>
      </x:c>
      <x:c r="K131" s="27"/>
      <x:c r="L131" s="27"/>
      <x:c r="M131" s="27"/>
      <x:c r="N131" s="27"/>
      <x:c r="O131" s="163" t="str">
        <x:f>IF(COUNTA(A131:D131,G131,K131:N131)=0,"",IF(OR(A131="",COUNTIFS($A$5:$A$304,A131)&lt;&gt;1),"ID ausente ou duplicado",IF(OR(NOT(ISNUMBER(B131)),B131&lt;=0),"Data ausente ou inválida",IF(AND(C131&lt;&gt;"Entrada",C131&lt;&gt;"Saída",C131&lt;&gt;"Perda",C131&lt;&gt;"Ajuste positivo",C131&lt;&gt;"Ajuste negativo"),"Tipo de movimento inválido",IF(OR(D131="",COUNTIFS(Lotes!$A$5:$A$204,D131)&lt;&gt;1),"Lote ausente ou desconhecido",IF(COUNTIFS(Lotes!$A$5:$A$204,D131,Lotes!$S$5:$S$204,"?*")&gt;0,"Revisar cadastro do lote",IF(B131&lt;INDEX(Lotes!$E$5:$E$204,MATCH(D131,Lotes!$A$5:$A$204,0)),"Movimento anterior ao recebimento",IF(OR(NOT(ISNUMBER(G131)),G131&lt;=0),"Quantidade ausente ou inválida",""))))))))</x:f>
      </x:c>
      <x:c r="P131" s="163" t="n">
        <x:f>IF(O131="",0,1)</x:f>
        <x:v>0</x:v>
      </x:c>
      <x:c r="Q131" s="163" t="n">
        <x:f>IF(COUNTA(A131:D131,G131,K131:N131)=0,0,IF(OR(Listas!$B$19="Todos",E131=Listas!$B$19,E131="",COUNTIFS(Lotes!$A$5:$A$204,D131)&lt;&gt;1),1,0))</x:f>
        <x:v>0</x:v>
      </x:c>
      <x:c r="R131" s="1"/>
      <x:c r="S131" s="1"/>
      <x:c r="T131" s="1"/>
      <x:c r="U131" s="1"/>
      <x:c r="V131" s="1"/>
      <x:c r="W131" s="1"/>
    </x:row>
    <x:row r="132" ht="32" customHeight="1">
      <x:c r="A132" s="170"/>
      <x:c r="B132" s="179"/>
      <x:c r="C132" s="170"/>
      <x:c r="D132" s="170"/>
      <x:c r="E132" s="40" t="str">
        <x:f>IF($D132="","",IFERROR(INDEX(Lotes!$B$5:$B$204,MATCH($D132,Lotes!$A$5:$A$204,0)),""))</x:f>
      </x:c>
      <x:c r="F132" s="40" t="str">
        <x:f>IF($D132="","",IFERROR(INDEX(Lotes!$C$5:$C$204,MATCH($D132,Lotes!$A$5:$A$204,0)),""))</x:f>
      </x:c>
      <x:c r="G132" s="27"/>
      <x:c r="H132" s="40" t="str">
        <x:f>IF(A132="","",IF(O132&lt;&gt;"","n.a.",IF(OR(C132="Saída",C132="Perda",C132="Ajuste negativo"),-G132,G132)))</x:f>
      </x:c>
      <x:c r="I132" s="181" t="str">
        <x:f>IF($D132="","",IFERROR(INDEX(Lotes!$K$5:$K$204,MATCH($D132,Lotes!$A$5:$A$204,0)),0))</x:f>
      </x:c>
      <x:c r="J132" s="181" t="str">
        <x:f>IF(A132="","",IF(O132&lt;&gt;"","n.a.",ABS(H132)*I132))</x:f>
      </x:c>
      <x:c r="K132" s="27"/>
      <x:c r="L132" s="27"/>
      <x:c r="M132" s="27"/>
      <x:c r="N132" s="27"/>
      <x:c r="O132" s="163" t="str">
        <x:f>IF(COUNTA(A132:D132,G132,K132:N132)=0,"",IF(OR(A132="",COUNTIFS($A$5:$A$304,A132)&lt;&gt;1),"ID ausente ou duplicado",IF(OR(NOT(ISNUMBER(B132)),B132&lt;=0),"Data ausente ou inválida",IF(AND(C132&lt;&gt;"Entrada",C132&lt;&gt;"Saída",C132&lt;&gt;"Perda",C132&lt;&gt;"Ajuste positivo",C132&lt;&gt;"Ajuste negativo"),"Tipo de movimento inválido",IF(OR(D132="",COUNTIFS(Lotes!$A$5:$A$204,D132)&lt;&gt;1),"Lote ausente ou desconhecido",IF(COUNTIFS(Lotes!$A$5:$A$204,D132,Lotes!$S$5:$S$204,"?*")&gt;0,"Revisar cadastro do lote",IF(B132&lt;INDEX(Lotes!$E$5:$E$204,MATCH(D132,Lotes!$A$5:$A$204,0)),"Movimento anterior ao recebimento",IF(OR(NOT(ISNUMBER(G132)),G132&lt;=0),"Quantidade ausente ou inválida",""))))))))</x:f>
      </x:c>
      <x:c r="P132" s="163" t="n">
        <x:f>IF(O132="",0,1)</x:f>
        <x:v>0</x:v>
      </x:c>
      <x:c r="Q132" s="163" t="n">
        <x:f>IF(COUNTA(A132:D132,G132,K132:N132)=0,0,IF(OR(Listas!$B$19="Todos",E132=Listas!$B$19,E132="",COUNTIFS(Lotes!$A$5:$A$204,D132)&lt;&gt;1),1,0))</x:f>
        <x:v>0</x:v>
      </x:c>
      <x:c r="R132" s="1"/>
      <x:c r="S132" s="1"/>
      <x:c r="T132" s="1"/>
      <x:c r="U132" s="1"/>
      <x:c r="V132" s="1"/>
      <x:c r="W132" s="1"/>
    </x:row>
    <x:row r="133" ht="32" customHeight="1">
      <x:c r="A133" s="170"/>
      <x:c r="B133" s="179"/>
      <x:c r="C133" s="170"/>
      <x:c r="D133" s="170"/>
      <x:c r="E133" s="40" t="str">
        <x:f>IF($D133="","",IFERROR(INDEX(Lotes!$B$5:$B$204,MATCH($D133,Lotes!$A$5:$A$204,0)),""))</x:f>
      </x:c>
      <x:c r="F133" s="40" t="str">
        <x:f>IF($D133="","",IFERROR(INDEX(Lotes!$C$5:$C$204,MATCH($D133,Lotes!$A$5:$A$204,0)),""))</x:f>
      </x:c>
      <x:c r="G133" s="27"/>
      <x:c r="H133" s="40" t="str">
        <x:f>IF(A133="","",IF(O133&lt;&gt;"","n.a.",IF(OR(C133="Saída",C133="Perda",C133="Ajuste negativo"),-G133,G133)))</x:f>
      </x:c>
      <x:c r="I133" s="181" t="str">
        <x:f>IF($D133="","",IFERROR(INDEX(Lotes!$K$5:$K$204,MATCH($D133,Lotes!$A$5:$A$204,0)),0))</x:f>
      </x:c>
      <x:c r="J133" s="181" t="str">
        <x:f>IF(A133="","",IF(O133&lt;&gt;"","n.a.",ABS(H133)*I133))</x:f>
      </x:c>
      <x:c r="K133" s="27"/>
      <x:c r="L133" s="27"/>
      <x:c r="M133" s="27"/>
      <x:c r="N133" s="27"/>
      <x:c r="O133" s="163" t="str">
        <x:f>IF(COUNTA(A133:D133,G133,K133:N133)=0,"",IF(OR(A133="",COUNTIFS($A$5:$A$304,A133)&lt;&gt;1),"ID ausente ou duplicado",IF(OR(NOT(ISNUMBER(B133)),B133&lt;=0),"Data ausente ou inválida",IF(AND(C133&lt;&gt;"Entrada",C133&lt;&gt;"Saída",C133&lt;&gt;"Perda",C133&lt;&gt;"Ajuste positivo",C133&lt;&gt;"Ajuste negativo"),"Tipo de movimento inválido",IF(OR(D133="",COUNTIFS(Lotes!$A$5:$A$204,D133)&lt;&gt;1),"Lote ausente ou desconhecido",IF(COUNTIFS(Lotes!$A$5:$A$204,D133,Lotes!$S$5:$S$204,"?*")&gt;0,"Revisar cadastro do lote",IF(B133&lt;INDEX(Lotes!$E$5:$E$204,MATCH(D133,Lotes!$A$5:$A$204,0)),"Movimento anterior ao recebimento",IF(OR(NOT(ISNUMBER(G133)),G133&lt;=0),"Quantidade ausente ou inválida",""))))))))</x:f>
      </x:c>
      <x:c r="P133" s="163" t="n">
        <x:f>IF(O133="",0,1)</x:f>
        <x:v>0</x:v>
      </x:c>
      <x:c r="Q133" s="163" t="n">
        <x:f>IF(COUNTA(A133:D133,G133,K133:N133)=0,0,IF(OR(Listas!$B$19="Todos",E133=Listas!$B$19,E133="",COUNTIFS(Lotes!$A$5:$A$204,D133)&lt;&gt;1),1,0))</x:f>
        <x:v>0</x:v>
      </x:c>
      <x:c r="R133" s="1"/>
      <x:c r="S133" s="1"/>
      <x:c r="T133" s="1"/>
      <x:c r="U133" s="1"/>
      <x:c r="V133" s="1"/>
      <x:c r="W133" s="1"/>
    </x:row>
    <x:row r="134" ht="32" customHeight="1">
      <x:c r="A134" s="170"/>
      <x:c r="B134" s="179"/>
      <x:c r="C134" s="170"/>
      <x:c r="D134" s="170"/>
      <x:c r="E134" s="40" t="str">
        <x:f>IF($D134="","",IFERROR(INDEX(Lotes!$B$5:$B$204,MATCH($D134,Lotes!$A$5:$A$204,0)),""))</x:f>
      </x:c>
      <x:c r="F134" s="40" t="str">
        <x:f>IF($D134="","",IFERROR(INDEX(Lotes!$C$5:$C$204,MATCH($D134,Lotes!$A$5:$A$204,0)),""))</x:f>
      </x:c>
      <x:c r="G134" s="27"/>
      <x:c r="H134" s="40" t="str">
        <x:f>IF(A134="","",IF(O134&lt;&gt;"","n.a.",IF(OR(C134="Saída",C134="Perda",C134="Ajuste negativo"),-G134,G134)))</x:f>
      </x:c>
      <x:c r="I134" s="181" t="str">
        <x:f>IF($D134="","",IFERROR(INDEX(Lotes!$K$5:$K$204,MATCH($D134,Lotes!$A$5:$A$204,0)),0))</x:f>
      </x:c>
      <x:c r="J134" s="181" t="str">
        <x:f>IF(A134="","",IF(O134&lt;&gt;"","n.a.",ABS(H134)*I134))</x:f>
      </x:c>
      <x:c r="K134" s="27"/>
      <x:c r="L134" s="27"/>
      <x:c r="M134" s="27"/>
      <x:c r="N134" s="27"/>
      <x:c r="O134" s="163" t="str">
        <x:f>IF(COUNTA(A134:D134,G134,K134:N134)=0,"",IF(OR(A134="",COUNTIFS($A$5:$A$304,A134)&lt;&gt;1),"ID ausente ou duplicado",IF(OR(NOT(ISNUMBER(B134)),B134&lt;=0),"Data ausente ou inválida",IF(AND(C134&lt;&gt;"Entrada",C134&lt;&gt;"Saída",C134&lt;&gt;"Perda",C134&lt;&gt;"Ajuste positivo",C134&lt;&gt;"Ajuste negativo"),"Tipo de movimento inválido",IF(OR(D134="",COUNTIFS(Lotes!$A$5:$A$204,D134)&lt;&gt;1),"Lote ausente ou desconhecido",IF(COUNTIFS(Lotes!$A$5:$A$204,D134,Lotes!$S$5:$S$204,"?*")&gt;0,"Revisar cadastro do lote",IF(B134&lt;INDEX(Lotes!$E$5:$E$204,MATCH(D134,Lotes!$A$5:$A$204,0)),"Movimento anterior ao recebimento",IF(OR(NOT(ISNUMBER(G134)),G134&lt;=0),"Quantidade ausente ou inválida",""))))))))</x:f>
      </x:c>
      <x:c r="P134" s="163" t="n">
        <x:f>IF(O134="",0,1)</x:f>
        <x:v>0</x:v>
      </x:c>
      <x:c r="Q134" s="163" t="n">
        <x:f>IF(COUNTA(A134:D134,G134,K134:N134)=0,0,IF(OR(Listas!$B$19="Todos",E134=Listas!$B$19,E134="",COUNTIFS(Lotes!$A$5:$A$204,D134)&lt;&gt;1),1,0))</x:f>
        <x:v>0</x:v>
      </x:c>
      <x:c r="R134" s="1"/>
      <x:c r="S134" s="1"/>
      <x:c r="T134" s="1"/>
      <x:c r="U134" s="1"/>
      <x:c r="V134" s="1"/>
      <x:c r="W134" s="1"/>
    </x:row>
    <x:row r="135" ht="32" customHeight="1">
      <x:c r="A135" s="170"/>
      <x:c r="B135" s="179"/>
      <x:c r="C135" s="170"/>
      <x:c r="D135" s="170"/>
      <x:c r="E135" s="40" t="str">
        <x:f>IF($D135="","",IFERROR(INDEX(Lotes!$B$5:$B$204,MATCH($D135,Lotes!$A$5:$A$204,0)),""))</x:f>
      </x:c>
      <x:c r="F135" s="40" t="str">
        <x:f>IF($D135="","",IFERROR(INDEX(Lotes!$C$5:$C$204,MATCH($D135,Lotes!$A$5:$A$204,0)),""))</x:f>
      </x:c>
      <x:c r="G135" s="27"/>
      <x:c r="H135" s="40" t="str">
        <x:f>IF(A135="","",IF(O135&lt;&gt;"","n.a.",IF(OR(C135="Saída",C135="Perda",C135="Ajuste negativo"),-G135,G135)))</x:f>
      </x:c>
      <x:c r="I135" s="181" t="str">
        <x:f>IF($D135="","",IFERROR(INDEX(Lotes!$K$5:$K$204,MATCH($D135,Lotes!$A$5:$A$204,0)),0))</x:f>
      </x:c>
      <x:c r="J135" s="181" t="str">
        <x:f>IF(A135="","",IF(O135&lt;&gt;"","n.a.",ABS(H135)*I135))</x:f>
      </x:c>
      <x:c r="K135" s="27"/>
      <x:c r="L135" s="27"/>
      <x:c r="M135" s="27"/>
      <x:c r="N135" s="27"/>
      <x:c r="O135" s="163" t="str">
        <x:f>IF(COUNTA(A135:D135,G135,K135:N135)=0,"",IF(OR(A135="",COUNTIFS($A$5:$A$304,A135)&lt;&gt;1),"ID ausente ou duplicado",IF(OR(NOT(ISNUMBER(B135)),B135&lt;=0),"Data ausente ou inválida",IF(AND(C135&lt;&gt;"Entrada",C135&lt;&gt;"Saída",C135&lt;&gt;"Perda",C135&lt;&gt;"Ajuste positivo",C135&lt;&gt;"Ajuste negativo"),"Tipo de movimento inválido",IF(OR(D135="",COUNTIFS(Lotes!$A$5:$A$204,D135)&lt;&gt;1),"Lote ausente ou desconhecido",IF(COUNTIFS(Lotes!$A$5:$A$204,D135,Lotes!$S$5:$S$204,"?*")&gt;0,"Revisar cadastro do lote",IF(B135&lt;INDEX(Lotes!$E$5:$E$204,MATCH(D135,Lotes!$A$5:$A$204,0)),"Movimento anterior ao recebimento",IF(OR(NOT(ISNUMBER(G135)),G135&lt;=0),"Quantidade ausente ou inválida",""))))))))</x:f>
      </x:c>
      <x:c r="P135" s="163" t="n">
        <x:f>IF(O135="",0,1)</x:f>
        <x:v>0</x:v>
      </x:c>
      <x:c r="Q135" s="163" t="n">
        <x:f>IF(COUNTA(A135:D135,G135,K135:N135)=0,0,IF(OR(Listas!$B$19="Todos",E135=Listas!$B$19,E135="",COUNTIFS(Lotes!$A$5:$A$204,D135)&lt;&gt;1),1,0))</x:f>
        <x:v>0</x:v>
      </x:c>
      <x:c r="R135" s="1"/>
      <x:c r="S135" s="1"/>
      <x:c r="T135" s="1"/>
      <x:c r="U135" s="1"/>
      <x:c r="V135" s="1"/>
      <x:c r="W135" s="1"/>
    </x:row>
    <x:row r="136" ht="32" customHeight="1">
      <x:c r="A136" s="170"/>
      <x:c r="B136" s="179"/>
      <x:c r="C136" s="170"/>
      <x:c r="D136" s="170"/>
      <x:c r="E136" s="40" t="str">
        <x:f>IF($D136="","",IFERROR(INDEX(Lotes!$B$5:$B$204,MATCH($D136,Lotes!$A$5:$A$204,0)),""))</x:f>
      </x:c>
      <x:c r="F136" s="40" t="str">
        <x:f>IF($D136="","",IFERROR(INDEX(Lotes!$C$5:$C$204,MATCH($D136,Lotes!$A$5:$A$204,0)),""))</x:f>
      </x:c>
      <x:c r="G136" s="27"/>
      <x:c r="H136" s="40" t="str">
        <x:f>IF(A136="","",IF(O136&lt;&gt;"","n.a.",IF(OR(C136="Saída",C136="Perda",C136="Ajuste negativo"),-G136,G136)))</x:f>
      </x:c>
      <x:c r="I136" s="181" t="str">
        <x:f>IF($D136="","",IFERROR(INDEX(Lotes!$K$5:$K$204,MATCH($D136,Lotes!$A$5:$A$204,0)),0))</x:f>
      </x:c>
      <x:c r="J136" s="181" t="str">
        <x:f>IF(A136="","",IF(O136&lt;&gt;"","n.a.",ABS(H136)*I136))</x:f>
      </x:c>
      <x:c r="K136" s="27"/>
      <x:c r="L136" s="27"/>
      <x:c r="M136" s="27"/>
      <x:c r="N136" s="27"/>
      <x:c r="O136" s="163" t="str">
        <x:f>IF(COUNTA(A136:D136,G136,K136:N136)=0,"",IF(OR(A136="",COUNTIFS($A$5:$A$304,A136)&lt;&gt;1),"ID ausente ou duplicado",IF(OR(NOT(ISNUMBER(B136)),B136&lt;=0),"Data ausente ou inválida",IF(AND(C136&lt;&gt;"Entrada",C136&lt;&gt;"Saída",C136&lt;&gt;"Perda",C136&lt;&gt;"Ajuste positivo",C136&lt;&gt;"Ajuste negativo"),"Tipo de movimento inválido",IF(OR(D136="",COUNTIFS(Lotes!$A$5:$A$204,D136)&lt;&gt;1),"Lote ausente ou desconhecido",IF(COUNTIFS(Lotes!$A$5:$A$204,D136,Lotes!$S$5:$S$204,"?*")&gt;0,"Revisar cadastro do lote",IF(B136&lt;INDEX(Lotes!$E$5:$E$204,MATCH(D136,Lotes!$A$5:$A$204,0)),"Movimento anterior ao recebimento",IF(OR(NOT(ISNUMBER(G136)),G136&lt;=0),"Quantidade ausente ou inválida",""))))))))</x:f>
      </x:c>
      <x:c r="P136" s="163" t="n">
        <x:f>IF(O136="",0,1)</x:f>
        <x:v>0</x:v>
      </x:c>
      <x:c r="Q136" s="163" t="n">
        <x:f>IF(COUNTA(A136:D136,G136,K136:N136)=0,0,IF(OR(Listas!$B$19="Todos",E136=Listas!$B$19,E136="",COUNTIFS(Lotes!$A$5:$A$204,D136)&lt;&gt;1),1,0))</x:f>
        <x:v>0</x:v>
      </x:c>
      <x:c r="R136" s="1"/>
      <x:c r="S136" s="1"/>
      <x:c r="T136" s="1"/>
      <x:c r="U136" s="1"/>
      <x:c r="V136" s="1"/>
      <x:c r="W136" s="1"/>
    </x:row>
    <x:row r="137" ht="32" customHeight="1">
      <x:c r="A137" s="170"/>
      <x:c r="B137" s="179"/>
      <x:c r="C137" s="170"/>
      <x:c r="D137" s="170"/>
      <x:c r="E137" s="40" t="str">
        <x:f>IF($D137="","",IFERROR(INDEX(Lotes!$B$5:$B$204,MATCH($D137,Lotes!$A$5:$A$204,0)),""))</x:f>
      </x:c>
      <x:c r="F137" s="40" t="str">
        <x:f>IF($D137="","",IFERROR(INDEX(Lotes!$C$5:$C$204,MATCH($D137,Lotes!$A$5:$A$204,0)),""))</x:f>
      </x:c>
      <x:c r="G137" s="27"/>
      <x:c r="H137" s="40" t="str">
        <x:f>IF(A137="","",IF(O137&lt;&gt;"","n.a.",IF(OR(C137="Saída",C137="Perda",C137="Ajuste negativo"),-G137,G137)))</x:f>
      </x:c>
      <x:c r="I137" s="181" t="str">
        <x:f>IF($D137="","",IFERROR(INDEX(Lotes!$K$5:$K$204,MATCH($D137,Lotes!$A$5:$A$204,0)),0))</x:f>
      </x:c>
      <x:c r="J137" s="181" t="str">
        <x:f>IF(A137="","",IF(O137&lt;&gt;"","n.a.",ABS(H137)*I137))</x:f>
      </x:c>
      <x:c r="K137" s="27"/>
      <x:c r="L137" s="27"/>
      <x:c r="M137" s="27"/>
      <x:c r="N137" s="27"/>
      <x:c r="O137" s="163" t="str">
        <x:f>IF(COUNTA(A137:D137,G137,K137:N137)=0,"",IF(OR(A137="",COUNTIFS($A$5:$A$304,A137)&lt;&gt;1),"ID ausente ou duplicado",IF(OR(NOT(ISNUMBER(B137)),B137&lt;=0),"Data ausente ou inválida",IF(AND(C137&lt;&gt;"Entrada",C137&lt;&gt;"Saída",C137&lt;&gt;"Perda",C137&lt;&gt;"Ajuste positivo",C137&lt;&gt;"Ajuste negativo"),"Tipo de movimento inválido",IF(OR(D137="",COUNTIFS(Lotes!$A$5:$A$204,D137)&lt;&gt;1),"Lote ausente ou desconhecido",IF(COUNTIFS(Lotes!$A$5:$A$204,D137,Lotes!$S$5:$S$204,"?*")&gt;0,"Revisar cadastro do lote",IF(B137&lt;INDEX(Lotes!$E$5:$E$204,MATCH(D137,Lotes!$A$5:$A$204,0)),"Movimento anterior ao recebimento",IF(OR(NOT(ISNUMBER(G137)),G137&lt;=0),"Quantidade ausente ou inválida",""))))))))</x:f>
      </x:c>
      <x:c r="P137" s="163" t="n">
        <x:f>IF(O137="",0,1)</x:f>
        <x:v>0</x:v>
      </x:c>
      <x:c r="Q137" s="163" t="n">
        <x:f>IF(COUNTA(A137:D137,G137,K137:N137)=0,0,IF(OR(Listas!$B$19="Todos",E137=Listas!$B$19,E137="",COUNTIFS(Lotes!$A$5:$A$204,D137)&lt;&gt;1),1,0))</x:f>
        <x:v>0</x:v>
      </x:c>
      <x:c r="R137" s="1"/>
      <x:c r="S137" s="1"/>
      <x:c r="T137" s="1"/>
      <x:c r="U137" s="1"/>
      <x:c r="V137" s="1"/>
      <x:c r="W137" s="1"/>
    </x:row>
    <x:row r="138" ht="32" customHeight="1">
      <x:c r="A138" s="170"/>
      <x:c r="B138" s="179"/>
      <x:c r="C138" s="170"/>
      <x:c r="D138" s="170"/>
      <x:c r="E138" s="40" t="str">
        <x:f>IF($D138="","",IFERROR(INDEX(Lotes!$B$5:$B$204,MATCH($D138,Lotes!$A$5:$A$204,0)),""))</x:f>
      </x:c>
      <x:c r="F138" s="40" t="str">
        <x:f>IF($D138="","",IFERROR(INDEX(Lotes!$C$5:$C$204,MATCH($D138,Lotes!$A$5:$A$204,0)),""))</x:f>
      </x:c>
      <x:c r="G138" s="27"/>
      <x:c r="H138" s="40" t="str">
        <x:f>IF(A138="","",IF(O138&lt;&gt;"","n.a.",IF(OR(C138="Saída",C138="Perda",C138="Ajuste negativo"),-G138,G138)))</x:f>
      </x:c>
      <x:c r="I138" s="181" t="str">
        <x:f>IF($D138="","",IFERROR(INDEX(Lotes!$K$5:$K$204,MATCH($D138,Lotes!$A$5:$A$204,0)),0))</x:f>
      </x:c>
      <x:c r="J138" s="181" t="str">
        <x:f>IF(A138="","",IF(O138&lt;&gt;"","n.a.",ABS(H138)*I138))</x:f>
      </x:c>
      <x:c r="K138" s="27"/>
      <x:c r="L138" s="27"/>
      <x:c r="M138" s="27"/>
      <x:c r="N138" s="27"/>
      <x:c r="O138" s="163" t="str">
        <x:f>IF(COUNTA(A138:D138,G138,K138:N138)=0,"",IF(OR(A138="",COUNTIFS($A$5:$A$304,A138)&lt;&gt;1),"ID ausente ou duplicado",IF(OR(NOT(ISNUMBER(B138)),B138&lt;=0),"Data ausente ou inválida",IF(AND(C138&lt;&gt;"Entrada",C138&lt;&gt;"Saída",C138&lt;&gt;"Perda",C138&lt;&gt;"Ajuste positivo",C138&lt;&gt;"Ajuste negativo"),"Tipo de movimento inválido",IF(OR(D138="",COUNTIFS(Lotes!$A$5:$A$204,D138)&lt;&gt;1),"Lote ausente ou desconhecido",IF(COUNTIFS(Lotes!$A$5:$A$204,D138,Lotes!$S$5:$S$204,"?*")&gt;0,"Revisar cadastro do lote",IF(B138&lt;INDEX(Lotes!$E$5:$E$204,MATCH(D138,Lotes!$A$5:$A$204,0)),"Movimento anterior ao recebimento",IF(OR(NOT(ISNUMBER(G138)),G138&lt;=0),"Quantidade ausente ou inválida",""))))))))</x:f>
      </x:c>
      <x:c r="P138" s="163" t="n">
        <x:f>IF(O138="",0,1)</x:f>
        <x:v>0</x:v>
      </x:c>
      <x:c r="Q138" s="163" t="n">
        <x:f>IF(COUNTA(A138:D138,G138,K138:N138)=0,0,IF(OR(Listas!$B$19="Todos",E138=Listas!$B$19,E138="",COUNTIFS(Lotes!$A$5:$A$204,D138)&lt;&gt;1),1,0))</x:f>
        <x:v>0</x:v>
      </x:c>
      <x:c r="R138" s="1"/>
      <x:c r="S138" s="1"/>
      <x:c r="T138" s="1"/>
      <x:c r="U138" s="1"/>
      <x:c r="V138" s="1"/>
      <x:c r="W138" s="1"/>
    </x:row>
    <x:row r="139" ht="32" customHeight="1">
      <x:c r="A139" s="170"/>
      <x:c r="B139" s="179"/>
      <x:c r="C139" s="170"/>
      <x:c r="D139" s="170"/>
      <x:c r="E139" s="40" t="str">
        <x:f>IF($D139="","",IFERROR(INDEX(Lotes!$B$5:$B$204,MATCH($D139,Lotes!$A$5:$A$204,0)),""))</x:f>
      </x:c>
      <x:c r="F139" s="40" t="str">
        <x:f>IF($D139="","",IFERROR(INDEX(Lotes!$C$5:$C$204,MATCH($D139,Lotes!$A$5:$A$204,0)),""))</x:f>
      </x:c>
      <x:c r="G139" s="27"/>
      <x:c r="H139" s="40" t="str">
        <x:f>IF(A139="","",IF(O139&lt;&gt;"","n.a.",IF(OR(C139="Saída",C139="Perda",C139="Ajuste negativo"),-G139,G139)))</x:f>
      </x:c>
      <x:c r="I139" s="181" t="str">
        <x:f>IF($D139="","",IFERROR(INDEX(Lotes!$K$5:$K$204,MATCH($D139,Lotes!$A$5:$A$204,0)),0))</x:f>
      </x:c>
      <x:c r="J139" s="181" t="str">
        <x:f>IF(A139="","",IF(O139&lt;&gt;"","n.a.",ABS(H139)*I139))</x:f>
      </x:c>
      <x:c r="K139" s="27"/>
      <x:c r="L139" s="27"/>
      <x:c r="M139" s="27"/>
      <x:c r="N139" s="27"/>
      <x:c r="O139" s="163" t="str">
        <x:f>IF(COUNTA(A139:D139,G139,K139:N139)=0,"",IF(OR(A139="",COUNTIFS($A$5:$A$304,A139)&lt;&gt;1),"ID ausente ou duplicado",IF(OR(NOT(ISNUMBER(B139)),B139&lt;=0),"Data ausente ou inválida",IF(AND(C139&lt;&gt;"Entrada",C139&lt;&gt;"Saída",C139&lt;&gt;"Perda",C139&lt;&gt;"Ajuste positivo",C139&lt;&gt;"Ajuste negativo"),"Tipo de movimento inválido",IF(OR(D139="",COUNTIFS(Lotes!$A$5:$A$204,D139)&lt;&gt;1),"Lote ausente ou desconhecido",IF(COUNTIFS(Lotes!$A$5:$A$204,D139,Lotes!$S$5:$S$204,"?*")&gt;0,"Revisar cadastro do lote",IF(B139&lt;INDEX(Lotes!$E$5:$E$204,MATCH(D139,Lotes!$A$5:$A$204,0)),"Movimento anterior ao recebimento",IF(OR(NOT(ISNUMBER(G139)),G139&lt;=0),"Quantidade ausente ou inválida",""))))))))</x:f>
      </x:c>
      <x:c r="P139" s="163" t="n">
        <x:f>IF(O139="",0,1)</x:f>
        <x:v>0</x:v>
      </x:c>
      <x:c r="Q139" s="163" t="n">
        <x:f>IF(COUNTA(A139:D139,G139,K139:N139)=0,0,IF(OR(Listas!$B$19="Todos",E139=Listas!$B$19,E139="",COUNTIFS(Lotes!$A$5:$A$204,D139)&lt;&gt;1),1,0))</x:f>
        <x:v>0</x:v>
      </x:c>
      <x:c r="R139" s="1"/>
      <x:c r="S139" s="1"/>
      <x:c r="T139" s="1"/>
      <x:c r="U139" s="1"/>
      <x:c r="V139" s="1"/>
      <x:c r="W139" s="1"/>
    </x:row>
    <x:row r="140" ht="32" customHeight="1">
      <x:c r="A140" s="170"/>
      <x:c r="B140" s="179"/>
      <x:c r="C140" s="170"/>
      <x:c r="D140" s="170"/>
      <x:c r="E140" s="40" t="str">
        <x:f>IF($D140="","",IFERROR(INDEX(Lotes!$B$5:$B$204,MATCH($D140,Lotes!$A$5:$A$204,0)),""))</x:f>
      </x:c>
      <x:c r="F140" s="40" t="str">
        <x:f>IF($D140="","",IFERROR(INDEX(Lotes!$C$5:$C$204,MATCH($D140,Lotes!$A$5:$A$204,0)),""))</x:f>
      </x:c>
      <x:c r="G140" s="27"/>
      <x:c r="H140" s="40" t="str">
        <x:f>IF(A140="","",IF(O140&lt;&gt;"","n.a.",IF(OR(C140="Saída",C140="Perda",C140="Ajuste negativo"),-G140,G140)))</x:f>
      </x:c>
      <x:c r="I140" s="181" t="str">
        <x:f>IF($D140="","",IFERROR(INDEX(Lotes!$K$5:$K$204,MATCH($D140,Lotes!$A$5:$A$204,0)),0))</x:f>
      </x:c>
      <x:c r="J140" s="181" t="str">
        <x:f>IF(A140="","",IF(O140&lt;&gt;"","n.a.",ABS(H140)*I140))</x:f>
      </x:c>
      <x:c r="K140" s="27"/>
      <x:c r="L140" s="27"/>
      <x:c r="M140" s="27"/>
      <x:c r="N140" s="27"/>
      <x:c r="O140" s="163" t="str">
        <x:f>IF(COUNTA(A140:D140,G140,K140:N140)=0,"",IF(OR(A140="",COUNTIFS($A$5:$A$304,A140)&lt;&gt;1),"ID ausente ou duplicado",IF(OR(NOT(ISNUMBER(B140)),B140&lt;=0),"Data ausente ou inválida",IF(AND(C140&lt;&gt;"Entrada",C140&lt;&gt;"Saída",C140&lt;&gt;"Perda",C140&lt;&gt;"Ajuste positivo",C140&lt;&gt;"Ajuste negativo"),"Tipo de movimento inválido",IF(OR(D140="",COUNTIFS(Lotes!$A$5:$A$204,D140)&lt;&gt;1),"Lote ausente ou desconhecido",IF(COUNTIFS(Lotes!$A$5:$A$204,D140,Lotes!$S$5:$S$204,"?*")&gt;0,"Revisar cadastro do lote",IF(B140&lt;INDEX(Lotes!$E$5:$E$204,MATCH(D140,Lotes!$A$5:$A$204,0)),"Movimento anterior ao recebimento",IF(OR(NOT(ISNUMBER(G140)),G140&lt;=0),"Quantidade ausente ou inválida",""))))))))</x:f>
      </x:c>
      <x:c r="P140" s="163" t="n">
        <x:f>IF(O140="",0,1)</x:f>
        <x:v>0</x:v>
      </x:c>
      <x:c r="Q140" s="163" t="n">
        <x:f>IF(COUNTA(A140:D140,G140,K140:N140)=0,0,IF(OR(Listas!$B$19="Todos",E140=Listas!$B$19,E140="",COUNTIFS(Lotes!$A$5:$A$204,D140)&lt;&gt;1),1,0))</x:f>
        <x:v>0</x:v>
      </x:c>
      <x:c r="R140" s="1"/>
      <x:c r="S140" s="1"/>
      <x:c r="T140" s="1"/>
      <x:c r="U140" s="1"/>
      <x:c r="V140" s="1"/>
      <x:c r="W140" s="1"/>
    </x:row>
    <x:row r="141" ht="32" customHeight="1">
      <x:c r="A141" s="170"/>
      <x:c r="B141" s="179"/>
      <x:c r="C141" s="170"/>
      <x:c r="D141" s="170"/>
      <x:c r="E141" s="40" t="str">
        <x:f>IF($D141="","",IFERROR(INDEX(Lotes!$B$5:$B$204,MATCH($D141,Lotes!$A$5:$A$204,0)),""))</x:f>
      </x:c>
      <x:c r="F141" s="40" t="str">
        <x:f>IF($D141="","",IFERROR(INDEX(Lotes!$C$5:$C$204,MATCH($D141,Lotes!$A$5:$A$204,0)),""))</x:f>
      </x:c>
      <x:c r="G141" s="27"/>
      <x:c r="H141" s="40" t="str">
        <x:f>IF(A141="","",IF(O141&lt;&gt;"","n.a.",IF(OR(C141="Saída",C141="Perda",C141="Ajuste negativo"),-G141,G141)))</x:f>
      </x:c>
      <x:c r="I141" s="181" t="str">
        <x:f>IF($D141="","",IFERROR(INDEX(Lotes!$K$5:$K$204,MATCH($D141,Lotes!$A$5:$A$204,0)),0))</x:f>
      </x:c>
      <x:c r="J141" s="181" t="str">
        <x:f>IF(A141="","",IF(O141&lt;&gt;"","n.a.",ABS(H141)*I141))</x:f>
      </x:c>
      <x:c r="K141" s="27"/>
      <x:c r="L141" s="27"/>
      <x:c r="M141" s="27"/>
      <x:c r="N141" s="27"/>
      <x:c r="O141" s="163" t="str">
        <x:f>IF(COUNTA(A141:D141,G141,K141:N141)=0,"",IF(OR(A141="",COUNTIFS($A$5:$A$304,A141)&lt;&gt;1),"ID ausente ou duplicado",IF(OR(NOT(ISNUMBER(B141)),B141&lt;=0),"Data ausente ou inválida",IF(AND(C141&lt;&gt;"Entrada",C141&lt;&gt;"Saída",C141&lt;&gt;"Perda",C141&lt;&gt;"Ajuste positivo",C141&lt;&gt;"Ajuste negativo"),"Tipo de movimento inválido",IF(OR(D141="",COUNTIFS(Lotes!$A$5:$A$204,D141)&lt;&gt;1),"Lote ausente ou desconhecido",IF(COUNTIFS(Lotes!$A$5:$A$204,D141,Lotes!$S$5:$S$204,"?*")&gt;0,"Revisar cadastro do lote",IF(B141&lt;INDEX(Lotes!$E$5:$E$204,MATCH(D141,Lotes!$A$5:$A$204,0)),"Movimento anterior ao recebimento",IF(OR(NOT(ISNUMBER(G141)),G141&lt;=0),"Quantidade ausente ou inválida",""))))))))</x:f>
      </x:c>
      <x:c r="P141" s="163" t="n">
        <x:f>IF(O141="",0,1)</x:f>
        <x:v>0</x:v>
      </x:c>
      <x:c r="Q141" s="163" t="n">
        <x:f>IF(COUNTA(A141:D141,G141,K141:N141)=0,0,IF(OR(Listas!$B$19="Todos",E141=Listas!$B$19,E141="",COUNTIFS(Lotes!$A$5:$A$204,D141)&lt;&gt;1),1,0))</x:f>
        <x:v>0</x:v>
      </x:c>
      <x:c r="R141" s="1"/>
      <x:c r="S141" s="1"/>
      <x:c r="T141" s="1"/>
      <x:c r="U141" s="1"/>
      <x:c r="V141" s="1"/>
      <x:c r="W141" s="1"/>
    </x:row>
    <x:row r="142" ht="32" customHeight="1">
      <x:c r="A142" s="170"/>
      <x:c r="B142" s="179"/>
      <x:c r="C142" s="170"/>
      <x:c r="D142" s="170"/>
      <x:c r="E142" s="40" t="str">
        <x:f>IF($D142="","",IFERROR(INDEX(Lotes!$B$5:$B$204,MATCH($D142,Lotes!$A$5:$A$204,0)),""))</x:f>
      </x:c>
      <x:c r="F142" s="40" t="str">
        <x:f>IF($D142="","",IFERROR(INDEX(Lotes!$C$5:$C$204,MATCH($D142,Lotes!$A$5:$A$204,0)),""))</x:f>
      </x:c>
      <x:c r="G142" s="27"/>
      <x:c r="H142" s="40" t="str">
        <x:f>IF(A142="","",IF(O142&lt;&gt;"","n.a.",IF(OR(C142="Saída",C142="Perda",C142="Ajuste negativo"),-G142,G142)))</x:f>
      </x:c>
      <x:c r="I142" s="181" t="str">
        <x:f>IF($D142="","",IFERROR(INDEX(Lotes!$K$5:$K$204,MATCH($D142,Lotes!$A$5:$A$204,0)),0))</x:f>
      </x:c>
      <x:c r="J142" s="181" t="str">
        <x:f>IF(A142="","",IF(O142&lt;&gt;"","n.a.",ABS(H142)*I142))</x:f>
      </x:c>
      <x:c r="K142" s="27"/>
      <x:c r="L142" s="27"/>
      <x:c r="M142" s="27"/>
      <x:c r="N142" s="27"/>
      <x:c r="O142" s="163" t="str">
        <x:f>IF(COUNTA(A142:D142,G142,K142:N142)=0,"",IF(OR(A142="",COUNTIFS($A$5:$A$304,A142)&lt;&gt;1),"ID ausente ou duplicado",IF(OR(NOT(ISNUMBER(B142)),B142&lt;=0),"Data ausente ou inválida",IF(AND(C142&lt;&gt;"Entrada",C142&lt;&gt;"Saída",C142&lt;&gt;"Perda",C142&lt;&gt;"Ajuste positivo",C142&lt;&gt;"Ajuste negativo"),"Tipo de movimento inválido",IF(OR(D142="",COUNTIFS(Lotes!$A$5:$A$204,D142)&lt;&gt;1),"Lote ausente ou desconhecido",IF(COUNTIFS(Lotes!$A$5:$A$204,D142,Lotes!$S$5:$S$204,"?*")&gt;0,"Revisar cadastro do lote",IF(B142&lt;INDEX(Lotes!$E$5:$E$204,MATCH(D142,Lotes!$A$5:$A$204,0)),"Movimento anterior ao recebimento",IF(OR(NOT(ISNUMBER(G142)),G142&lt;=0),"Quantidade ausente ou inválida",""))))))))</x:f>
      </x:c>
      <x:c r="P142" s="163" t="n">
        <x:f>IF(O142="",0,1)</x:f>
        <x:v>0</x:v>
      </x:c>
      <x:c r="Q142" s="163" t="n">
        <x:f>IF(COUNTA(A142:D142,G142,K142:N142)=0,0,IF(OR(Listas!$B$19="Todos",E142=Listas!$B$19,E142="",COUNTIFS(Lotes!$A$5:$A$204,D142)&lt;&gt;1),1,0))</x:f>
        <x:v>0</x:v>
      </x:c>
      <x:c r="R142" s="1"/>
      <x:c r="S142" s="1"/>
      <x:c r="T142" s="1"/>
      <x:c r="U142" s="1"/>
      <x:c r="V142" s="1"/>
      <x:c r="W142" s="1"/>
    </x:row>
    <x:row r="143" ht="32" customHeight="1">
      <x:c r="A143" s="170"/>
      <x:c r="B143" s="179"/>
      <x:c r="C143" s="170"/>
      <x:c r="D143" s="170"/>
      <x:c r="E143" s="40" t="str">
        <x:f>IF($D143="","",IFERROR(INDEX(Lotes!$B$5:$B$204,MATCH($D143,Lotes!$A$5:$A$204,0)),""))</x:f>
      </x:c>
      <x:c r="F143" s="40" t="str">
        <x:f>IF($D143="","",IFERROR(INDEX(Lotes!$C$5:$C$204,MATCH($D143,Lotes!$A$5:$A$204,0)),""))</x:f>
      </x:c>
      <x:c r="G143" s="27"/>
      <x:c r="H143" s="40" t="str">
        <x:f>IF(A143="","",IF(O143&lt;&gt;"","n.a.",IF(OR(C143="Saída",C143="Perda",C143="Ajuste negativo"),-G143,G143)))</x:f>
      </x:c>
      <x:c r="I143" s="181" t="str">
        <x:f>IF($D143="","",IFERROR(INDEX(Lotes!$K$5:$K$204,MATCH($D143,Lotes!$A$5:$A$204,0)),0))</x:f>
      </x:c>
      <x:c r="J143" s="181" t="str">
        <x:f>IF(A143="","",IF(O143&lt;&gt;"","n.a.",ABS(H143)*I143))</x:f>
      </x:c>
      <x:c r="K143" s="27"/>
      <x:c r="L143" s="27"/>
      <x:c r="M143" s="27"/>
      <x:c r="N143" s="27"/>
      <x:c r="O143" s="163" t="str">
        <x:f>IF(COUNTA(A143:D143,G143,K143:N143)=0,"",IF(OR(A143="",COUNTIFS($A$5:$A$304,A143)&lt;&gt;1),"ID ausente ou duplicado",IF(OR(NOT(ISNUMBER(B143)),B143&lt;=0),"Data ausente ou inválida",IF(AND(C143&lt;&gt;"Entrada",C143&lt;&gt;"Saída",C143&lt;&gt;"Perda",C143&lt;&gt;"Ajuste positivo",C143&lt;&gt;"Ajuste negativo"),"Tipo de movimento inválido",IF(OR(D143="",COUNTIFS(Lotes!$A$5:$A$204,D143)&lt;&gt;1),"Lote ausente ou desconhecido",IF(COUNTIFS(Lotes!$A$5:$A$204,D143,Lotes!$S$5:$S$204,"?*")&gt;0,"Revisar cadastro do lote",IF(B143&lt;INDEX(Lotes!$E$5:$E$204,MATCH(D143,Lotes!$A$5:$A$204,0)),"Movimento anterior ao recebimento",IF(OR(NOT(ISNUMBER(G143)),G143&lt;=0),"Quantidade ausente ou inválida",""))))))))</x:f>
      </x:c>
      <x:c r="P143" s="163" t="n">
        <x:f>IF(O143="",0,1)</x:f>
        <x:v>0</x:v>
      </x:c>
      <x:c r="Q143" s="163" t="n">
        <x:f>IF(COUNTA(A143:D143,G143,K143:N143)=0,0,IF(OR(Listas!$B$19="Todos",E143=Listas!$B$19,E143="",COUNTIFS(Lotes!$A$5:$A$204,D143)&lt;&gt;1),1,0))</x:f>
        <x:v>0</x:v>
      </x:c>
      <x:c r="R143" s="1"/>
      <x:c r="S143" s="1"/>
      <x:c r="T143" s="1"/>
      <x:c r="U143" s="1"/>
      <x:c r="V143" s="1"/>
      <x:c r="W143" s="1"/>
    </x:row>
    <x:row r="144" ht="32" customHeight="1">
      <x:c r="A144" s="170"/>
      <x:c r="B144" s="179"/>
      <x:c r="C144" s="170"/>
      <x:c r="D144" s="170"/>
      <x:c r="E144" s="40" t="str">
        <x:f>IF($D144="","",IFERROR(INDEX(Lotes!$B$5:$B$204,MATCH($D144,Lotes!$A$5:$A$204,0)),""))</x:f>
      </x:c>
      <x:c r="F144" s="40" t="str">
        <x:f>IF($D144="","",IFERROR(INDEX(Lotes!$C$5:$C$204,MATCH($D144,Lotes!$A$5:$A$204,0)),""))</x:f>
      </x:c>
      <x:c r="G144" s="27"/>
      <x:c r="H144" s="40" t="str">
        <x:f>IF(A144="","",IF(O144&lt;&gt;"","n.a.",IF(OR(C144="Saída",C144="Perda",C144="Ajuste negativo"),-G144,G144)))</x:f>
      </x:c>
      <x:c r="I144" s="181" t="str">
        <x:f>IF($D144="","",IFERROR(INDEX(Lotes!$K$5:$K$204,MATCH($D144,Lotes!$A$5:$A$204,0)),0))</x:f>
      </x:c>
      <x:c r="J144" s="181" t="str">
        <x:f>IF(A144="","",IF(O144&lt;&gt;"","n.a.",ABS(H144)*I144))</x:f>
      </x:c>
      <x:c r="K144" s="27"/>
      <x:c r="L144" s="27"/>
      <x:c r="M144" s="27"/>
      <x:c r="N144" s="27"/>
      <x:c r="O144" s="163" t="str">
        <x:f>IF(COUNTA(A144:D144,G144,K144:N144)=0,"",IF(OR(A144="",COUNTIFS($A$5:$A$304,A144)&lt;&gt;1),"ID ausente ou duplicado",IF(OR(NOT(ISNUMBER(B144)),B144&lt;=0),"Data ausente ou inválida",IF(AND(C144&lt;&gt;"Entrada",C144&lt;&gt;"Saída",C144&lt;&gt;"Perda",C144&lt;&gt;"Ajuste positivo",C144&lt;&gt;"Ajuste negativo"),"Tipo de movimento inválido",IF(OR(D144="",COUNTIFS(Lotes!$A$5:$A$204,D144)&lt;&gt;1),"Lote ausente ou desconhecido",IF(COUNTIFS(Lotes!$A$5:$A$204,D144,Lotes!$S$5:$S$204,"?*")&gt;0,"Revisar cadastro do lote",IF(B144&lt;INDEX(Lotes!$E$5:$E$204,MATCH(D144,Lotes!$A$5:$A$204,0)),"Movimento anterior ao recebimento",IF(OR(NOT(ISNUMBER(G144)),G144&lt;=0),"Quantidade ausente ou inválida",""))))))))</x:f>
      </x:c>
      <x:c r="P144" s="163" t="n">
        <x:f>IF(O144="",0,1)</x:f>
        <x:v>0</x:v>
      </x:c>
      <x:c r="Q144" s="163" t="n">
        <x:f>IF(COUNTA(A144:D144,G144,K144:N144)=0,0,IF(OR(Listas!$B$19="Todos",E144=Listas!$B$19,E144="",COUNTIFS(Lotes!$A$5:$A$204,D144)&lt;&gt;1),1,0))</x:f>
        <x:v>0</x:v>
      </x:c>
      <x:c r="R144" s="1"/>
      <x:c r="S144" s="1"/>
      <x:c r="T144" s="1"/>
      <x:c r="U144" s="1"/>
      <x:c r="V144" s="1"/>
      <x:c r="W144" s="1"/>
    </x:row>
    <x:row r="145" ht="32" customHeight="1">
      <x:c r="A145" s="170"/>
      <x:c r="B145" s="179"/>
      <x:c r="C145" s="170"/>
      <x:c r="D145" s="170"/>
      <x:c r="E145" s="40" t="str">
        <x:f>IF($D145="","",IFERROR(INDEX(Lotes!$B$5:$B$204,MATCH($D145,Lotes!$A$5:$A$204,0)),""))</x:f>
      </x:c>
      <x:c r="F145" s="40" t="str">
        <x:f>IF($D145="","",IFERROR(INDEX(Lotes!$C$5:$C$204,MATCH($D145,Lotes!$A$5:$A$204,0)),""))</x:f>
      </x:c>
      <x:c r="G145" s="27"/>
      <x:c r="H145" s="40" t="str">
        <x:f>IF(A145="","",IF(O145&lt;&gt;"","n.a.",IF(OR(C145="Saída",C145="Perda",C145="Ajuste negativo"),-G145,G145)))</x:f>
      </x:c>
      <x:c r="I145" s="181" t="str">
        <x:f>IF($D145="","",IFERROR(INDEX(Lotes!$K$5:$K$204,MATCH($D145,Lotes!$A$5:$A$204,0)),0))</x:f>
      </x:c>
      <x:c r="J145" s="181" t="str">
        <x:f>IF(A145="","",IF(O145&lt;&gt;"","n.a.",ABS(H145)*I145))</x:f>
      </x:c>
      <x:c r="K145" s="27"/>
      <x:c r="L145" s="27"/>
      <x:c r="M145" s="27"/>
      <x:c r="N145" s="27"/>
      <x:c r="O145" s="163" t="str">
        <x:f>IF(COUNTA(A145:D145,G145,K145:N145)=0,"",IF(OR(A145="",COUNTIFS($A$5:$A$304,A145)&lt;&gt;1),"ID ausente ou duplicado",IF(OR(NOT(ISNUMBER(B145)),B145&lt;=0),"Data ausente ou inválida",IF(AND(C145&lt;&gt;"Entrada",C145&lt;&gt;"Saída",C145&lt;&gt;"Perda",C145&lt;&gt;"Ajuste positivo",C145&lt;&gt;"Ajuste negativo"),"Tipo de movimento inválido",IF(OR(D145="",COUNTIFS(Lotes!$A$5:$A$204,D145)&lt;&gt;1),"Lote ausente ou desconhecido",IF(COUNTIFS(Lotes!$A$5:$A$204,D145,Lotes!$S$5:$S$204,"?*")&gt;0,"Revisar cadastro do lote",IF(B145&lt;INDEX(Lotes!$E$5:$E$204,MATCH(D145,Lotes!$A$5:$A$204,0)),"Movimento anterior ao recebimento",IF(OR(NOT(ISNUMBER(G145)),G145&lt;=0),"Quantidade ausente ou inválida",""))))))))</x:f>
      </x:c>
      <x:c r="P145" s="163" t="n">
        <x:f>IF(O145="",0,1)</x:f>
        <x:v>0</x:v>
      </x:c>
      <x:c r="Q145" s="163" t="n">
        <x:f>IF(COUNTA(A145:D145,G145,K145:N145)=0,0,IF(OR(Listas!$B$19="Todos",E145=Listas!$B$19,E145="",COUNTIFS(Lotes!$A$5:$A$204,D145)&lt;&gt;1),1,0))</x:f>
        <x:v>0</x:v>
      </x:c>
      <x:c r="R145" s="1"/>
      <x:c r="S145" s="1"/>
      <x:c r="T145" s="1"/>
      <x:c r="U145" s="1"/>
      <x:c r="V145" s="1"/>
      <x:c r="W145" s="1"/>
    </x:row>
    <x:row r="146" ht="32" customHeight="1">
      <x:c r="A146" s="170"/>
      <x:c r="B146" s="179"/>
      <x:c r="C146" s="170"/>
      <x:c r="D146" s="170"/>
      <x:c r="E146" s="40" t="str">
        <x:f>IF($D146="","",IFERROR(INDEX(Lotes!$B$5:$B$204,MATCH($D146,Lotes!$A$5:$A$204,0)),""))</x:f>
      </x:c>
      <x:c r="F146" s="40" t="str">
        <x:f>IF($D146="","",IFERROR(INDEX(Lotes!$C$5:$C$204,MATCH($D146,Lotes!$A$5:$A$204,0)),""))</x:f>
      </x:c>
      <x:c r="G146" s="27"/>
      <x:c r="H146" s="40" t="str">
        <x:f>IF(A146="","",IF(O146&lt;&gt;"","n.a.",IF(OR(C146="Saída",C146="Perda",C146="Ajuste negativo"),-G146,G146)))</x:f>
      </x:c>
      <x:c r="I146" s="181" t="str">
        <x:f>IF($D146="","",IFERROR(INDEX(Lotes!$K$5:$K$204,MATCH($D146,Lotes!$A$5:$A$204,0)),0))</x:f>
      </x:c>
      <x:c r="J146" s="181" t="str">
        <x:f>IF(A146="","",IF(O146&lt;&gt;"","n.a.",ABS(H146)*I146))</x:f>
      </x:c>
      <x:c r="K146" s="27"/>
      <x:c r="L146" s="27"/>
      <x:c r="M146" s="27"/>
      <x:c r="N146" s="27"/>
      <x:c r="O146" s="163" t="str">
        <x:f>IF(COUNTA(A146:D146,G146,K146:N146)=0,"",IF(OR(A146="",COUNTIFS($A$5:$A$304,A146)&lt;&gt;1),"ID ausente ou duplicado",IF(OR(NOT(ISNUMBER(B146)),B146&lt;=0),"Data ausente ou inválida",IF(AND(C146&lt;&gt;"Entrada",C146&lt;&gt;"Saída",C146&lt;&gt;"Perda",C146&lt;&gt;"Ajuste positivo",C146&lt;&gt;"Ajuste negativo"),"Tipo de movimento inválido",IF(OR(D146="",COUNTIFS(Lotes!$A$5:$A$204,D146)&lt;&gt;1),"Lote ausente ou desconhecido",IF(COUNTIFS(Lotes!$A$5:$A$204,D146,Lotes!$S$5:$S$204,"?*")&gt;0,"Revisar cadastro do lote",IF(B146&lt;INDEX(Lotes!$E$5:$E$204,MATCH(D146,Lotes!$A$5:$A$204,0)),"Movimento anterior ao recebimento",IF(OR(NOT(ISNUMBER(G146)),G146&lt;=0),"Quantidade ausente ou inválida",""))))))))</x:f>
      </x:c>
      <x:c r="P146" s="163" t="n">
        <x:f>IF(O146="",0,1)</x:f>
        <x:v>0</x:v>
      </x:c>
      <x:c r="Q146" s="163" t="n">
        <x:f>IF(COUNTA(A146:D146,G146,K146:N146)=0,0,IF(OR(Listas!$B$19="Todos",E146=Listas!$B$19,E146="",COUNTIFS(Lotes!$A$5:$A$204,D146)&lt;&gt;1),1,0))</x:f>
        <x:v>0</x:v>
      </x:c>
      <x:c r="R146" s="1"/>
      <x:c r="S146" s="1"/>
      <x:c r="T146" s="1"/>
      <x:c r="U146" s="1"/>
      <x:c r="V146" s="1"/>
      <x:c r="W146" s="1"/>
    </x:row>
    <x:row r="147" ht="32" customHeight="1">
      <x:c r="A147" s="170"/>
      <x:c r="B147" s="179"/>
      <x:c r="C147" s="170"/>
      <x:c r="D147" s="170"/>
      <x:c r="E147" s="40" t="str">
        <x:f>IF($D147="","",IFERROR(INDEX(Lotes!$B$5:$B$204,MATCH($D147,Lotes!$A$5:$A$204,0)),""))</x:f>
      </x:c>
      <x:c r="F147" s="40" t="str">
        <x:f>IF($D147="","",IFERROR(INDEX(Lotes!$C$5:$C$204,MATCH($D147,Lotes!$A$5:$A$204,0)),""))</x:f>
      </x:c>
      <x:c r="G147" s="27"/>
      <x:c r="H147" s="40" t="str">
        <x:f>IF(A147="","",IF(O147&lt;&gt;"","n.a.",IF(OR(C147="Saída",C147="Perda",C147="Ajuste negativo"),-G147,G147)))</x:f>
      </x:c>
      <x:c r="I147" s="181" t="str">
        <x:f>IF($D147="","",IFERROR(INDEX(Lotes!$K$5:$K$204,MATCH($D147,Lotes!$A$5:$A$204,0)),0))</x:f>
      </x:c>
      <x:c r="J147" s="181" t="str">
        <x:f>IF(A147="","",IF(O147&lt;&gt;"","n.a.",ABS(H147)*I147))</x:f>
      </x:c>
      <x:c r="K147" s="27"/>
      <x:c r="L147" s="27"/>
      <x:c r="M147" s="27"/>
      <x:c r="N147" s="27"/>
      <x:c r="O147" s="163" t="str">
        <x:f>IF(COUNTA(A147:D147,G147,K147:N147)=0,"",IF(OR(A147="",COUNTIFS($A$5:$A$304,A147)&lt;&gt;1),"ID ausente ou duplicado",IF(OR(NOT(ISNUMBER(B147)),B147&lt;=0),"Data ausente ou inválida",IF(AND(C147&lt;&gt;"Entrada",C147&lt;&gt;"Saída",C147&lt;&gt;"Perda",C147&lt;&gt;"Ajuste positivo",C147&lt;&gt;"Ajuste negativo"),"Tipo de movimento inválido",IF(OR(D147="",COUNTIFS(Lotes!$A$5:$A$204,D147)&lt;&gt;1),"Lote ausente ou desconhecido",IF(COUNTIFS(Lotes!$A$5:$A$204,D147,Lotes!$S$5:$S$204,"?*")&gt;0,"Revisar cadastro do lote",IF(B147&lt;INDEX(Lotes!$E$5:$E$204,MATCH(D147,Lotes!$A$5:$A$204,0)),"Movimento anterior ao recebimento",IF(OR(NOT(ISNUMBER(G147)),G147&lt;=0),"Quantidade ausente ou inválida",""))))))))</x:f>
      </x:c>
      <x:c r="P147" s="163" t="n">
        <x:f>IF(O147="",0,1)</x:f>
        <x:v>0</x:v>
      </x:c>
      <x:c r="Q147" s="163" t="n">
        <x:f>IF(COUNTA(A147:D147,G147,K147:N147)=0,0,IF(OR(Listas!$B$19="Todos",E147=Listas!$B$19,E147="",COUNTIFS(Lotes!$A$5:$A$204,D147)&lt;&gt;1),1,0))</x:f>
        <x:v>0</x:v>
      </x:c>
      <x:c r="R147" s="1"/>
      <x:c r="S147" s="1"/>
      <x:c r="T147" s="1"/>
      <x:c r="U147" s="1"/>
      <x:c r="V147" s="1"/>
      <x:c r="W147" s="1"/>
    </x:row>
    <x:row r="148" ht="32" customHeight="1">
      <x:c r="A148" s="170"/>
      <x:c r="B148" s="179"/>
      <x:c r="C148" s="170"/>
      <x:c r="D148" s="170"/>
      <x:c r="E148" s="40" t="str">
        <x:f>IF($D148="","",IFERROR(INDEX(Lotes!$B$5:$B$204,MATCH($D148,Lotes!$A$5:$A$204,0)),""))</x:f>
      </x:c>
      <x:c r="F148" s="40" t="str">
        <x:f>IF($D148="","",IFERROR(INDEX(Lotes!$C$5:$C$204,MATCH($D148,Lotes!$A$5:$A$204,0)),""))</x:f>
      </x:c>
      <x:c r="G148" s="27"/>
      <x:c r="H148" s="40" t="str">
        <x:f>IF(A148="","",IF(O148&lt;&gt;"","n.a.",IF(OR(C148="Saída",C148="Perda",C148="Ajuste negativo"),-G148,G148)))</x:f>
      </x:c>
      <x:c r="I148" s="181" t="str">
        <x:f>IF($D148="","",IFERROR(INDEX(Lotes!$K$5:$K$204,MATCH($D148,Lotes!$A$5:$A$204,0)),0))</x:f>
      </x:c>
      <x:c r="J148" s="181" t="str">
        <x:f>IF(A148="","",IF(O148&lt;&gt;"","n.a.",ABS(H148)*I148))</x:f>
      </x:c>
      <x:c r="K148" s="27"/>
      <x:c r="L148" s="27"/>
      <x:c r="M148" s="27"/>
      <x:c r="N148" s="27"/>
      <x:c r="O148" s="163" t="str">
        <x:f>IF(COUNTA(A148:D148,G148,K148:N148)=0,"",IF(OR(A148="",COUNTIFS($A$5:$A$304,A148)&lt;&gt;1),"ID ausente ou duplicado",IF(OR(NOT(ISNUMBER(B148)),B148&lt;=0),"Data ausente ou inválida",IF(AND(C148&lt;&gt;"Entrada",C148&lt;&gt;"Saída",C148&lt;&gt;"Perda",C148&lt;&gt;"Ajuste positivo",C148&lt;&gt;"Ajuste negativo"),"Tipo de movimento inválido",IF(OR(D148="",COUNTIFS(Lotes!$A$5:$A$204,D148)&lt;&gt;1),"Lote ausente ou desconhecido",IF(COUNTIFS(Lotes!$A$5:$A$204,D148,Lotes!$S$5:$S$204,"?*")&gt;0,"Revisar cadastro do lote",IF(B148&lt;INDEX(Lotes!$E$5:$E$204,MATCH(D148,Lotes!$A$5:$A$204,0)),"Movimento anterior ao recebimento",IF(OR(NOT(ISNUMBER(G148)),G148&lt;=0),"Quantidade ausente ou inválida",""))))))))</x:f>
      </x:c>
      <x:c r="P148" s="163" t="n">
        <x:f>IF(O148="",0,1)</x:f>
        <x:v>0</x:v>
      </x:c>
      <x:c r="Q148" s="163" t="n">
        <x:f>IF(COUNTA(A148:D148,G148,K148:N148)=0,0,IF(OR(Listas!$B$19="Todos",E148=Listas!$B$19,E148="",COUNTIFS(Lotes!$A$5:$A$204,D148)&lt;&gt;1),1,0))</x:f>
        <x:v>0</x:v>
      </x:c>
      <x:c r="R148" s="1"/>
      <x:c r="S148" s="1"/>
      <x:c r="T148" s="1"/>
      <x:c r="U148" s="1"/>
      <x:c r="V148" s="1"/>
      <x:c r="W148" s="1"/>
    </x:row>
    <x:row r="149" ht="32" customHeight="1">
      <x:c r="A149" s="170"/>
      <x:c r="B149" s="179"/>
      <x:c r="C149" s="170"/>
      <x:c r="D149" s="170"/>
      <x:c r="E149" s="40" t="str">
        <x:f>IF($D149="","",IFERROR(INDEX(Lotes!$B$5:$B$204,MATCH($D149,Lotes!$A$5:$A$204,0)),""))</x:f>
      </x:c>
      <x:c r="F149" s="40" t="str">
        <x:f>IF($D149="","",IFERROR(INDEX(Lotes!$C$5:$C$204,MATCH($D149,Lotes!$A$5:$A$204,0)),""))</x:f>
      </x:c>
      <x:c r="G149" s="27"/>
      <x:c r="H149" s="40" t="str">
        <x:f>IF(A149="","",IF(O149&lt;&gt;"","n.a.",IF(OR(C149="Saída",C149="Perda",C149="Ajuste negativo"),-G149,G149)))</x:f>
      </x:c>
      <x:c r="I149" s="181" t="str">
        <x:f>IF($D149="","",IFERROR(INDEX(Lotes!$K$5:$K$204,MATCH($D149,Lotes!$A$5:$A$204,0)),0))</x:f>
      </x:c>
      <x:c r="J149" s="181" t="str">
        <x:f>IF(A149="","",IF(O149&lt;&gt;"","n.a.",ABS(H149)*I149))</x:f>
      </x:c>
      <x:c r="K149" s="27"/>
      <x:c r="L149" s="27"/>
      <x:c r="M149" s="27"/>
      <x:c r="N149" s="27"/>
      <x:c r="O149" s="163" t="str">
        <x:f>IF(COUNTA(A149:D149,G149,K149:N149)=0,"",IF(OR(A149="",COUNTIFS($A$5:$A$304,A149)&lt;&gt;1),"ID ausente ou duplicado",IF(OR(NOT(ISNUMBER(B149)),B149&lt;=0),"Data ausente ou inválida",IF(AND(C149&lt;&gt;"Entrada",C149&lt;&gt;"Saída",C149&lt;&gt;"Perda",C149&lt;&gt;"Ajuste positivo",C149&lt;&gt;"Ajuste negativo"),"Tipo de movimento inválido",IF(OR(D149="",COUNTIFS(Lotes!$A$5:$A$204,D149)&lt;&gt;1),"Lote ausente ou desconhecido",IF(COUNTIFS(Lotes!$A$5:$A$204,D149,Lotes!$S$5:$S$204,"?*")&gt;0,"Revisar cadastro do lote",IF(B149&lt;INDEX(Lotes!$E$5:$E$204,MATCH(D149,Lotes!$A$5:$A$204,0)),"Movimento anterior ao recebimento",IF(OR(NOT(ISNUMBER(G149)),G149&lt;=0),"Quantidade ausente ou inválida",""))))))))</x:f>
      </x:c>
      <x:c r="P149" s="163" t="n">
        <x:f>IF(O149="",0,1)</x:f>
        <x:v>0</x:v>
      </x:c>
      <x:c r="Q149" s="163" t="n">
        <x:f>IF(COUNTA(A149:D149,G149,K149:N149)=0,0,IF(OR(Listas!$B$19="Todos",E149=Listas!$B$19,E149="",COUNTIFS(Lotes!$A$5:$A$204,D149)&lt;&gt;1),1,0))</x:f>
        <x:v>0</x:v>
      </x:c>
      <x:c r="R149" s="1"/>
      <x:c r="S149" s="1"/>
      <x:c r="T149" s="1"/>
      <x:c r="U149" s="1"/>
      <x:c r="V149" s="1"/>
      <x:c r="W149" s="1"/>
    </x:row>
    <x:row r="150" ht="32" customHeight="1">
      <x:c r="A150" s="170"/>
      <x:c r="B150" s="179"/>
      <x:c r="C150" s="170"/>
      <x:c r="D150" s="170"/>
      <x:c r="E150" s="40" t="str">
        <x:f>IF($D150="","",IFERROR(INDEX(Lotes!$B$5:$B$204,MATCH($D150,Lotes!$A$5:$A$204,0)),""))</x:f>
      </x:c>
      <x:c r="F150" s="40" t="str">
        <x:f>IF($D150="","",IFERROR(INDEX(Lotes!$C$5:$C$204,MATCH($D150,Lotes!$A$5:$A$204,0)),""))</x:f>
      </x:c>
      <x:c r="G150" s="27"/>
      <x:c r="H150" s="40" t="str">
        <x:f>IF(A150="","",IF(O150&lt;&gt;"","n.a.",IF(OR(C150="Saída",C150="Perda",C150="Ajuste negativo"),-G150,G150)))</x:f>
      </x:c>
      <x:c r="I150" s="181" t="str">
        <x:f>IF($D150="","",IFERROR(INDEX(Lotes!$K$5:$K$204,MATCH($D150,Lotes!$A$5:$A$204,0)),0))</x:f>
      </x:c>
      <x:c r="J150" s="181" t="str">
        <x:f>IF(A150="","",IF(O150&lt;&gt;"","n.a.",ABS(H150)*I150))</x:f>
      </x:c>
      <x:c r="K150" s="27"/>
      <x:c r="L150" s="27"/>
      <x:c r="M150" s="27"/>
      <x:c r="N150" s="27"/>
      <x:c r="O150" s="163" t="str">
        <x:f>IF(COUNTA(A150:D150,G150,K150:N150)=0,"",IF(OR(A150="",COUNTIFS($A$5:$A$304,A150)&lt;&gt;1),"ID ausente ou duplicado",IF(OR(NOT(ISNUMBER(B150)),B150&lt;=0),"Data ausente ou inválida",IF(AND(C150&lt;&gt;"Entrada",C150&lt;&gt;"Saída",C150&lt;&gt;"Perda",C150&lt;&gt;"Ajuste positivo",C150&lt;&gt;"Ajuste negativo"),"Tipo de movimento inválido",IF(OR(D150="",COUNTIFS(Lotes!$A$5:$A$204,D150)&lt;&gt;1),"Lote ausente ou desconhecido",IF(COUNTIFS(Lotes!$A$5:$A$204,D150,Lotes!$S$5:$S$204,"?*")&gt;0,"Revisar cadastro do lote",IF(B150&lt;INDEX(Lotes!$E$5:$E$204,MATCH(D150,Lotes!$A$5:$A$204,0)),"Movimento anterior ao recebimento",IF(OR(NOT(ISNUMBER(G150)),G150&lt;=0),"Quantidade ausente ou inválida",""))))))))</x:f>
      </x:c>
      <x:c r="P150" s="163" t="n">
        <x:f>IF(O150="",0,1)</x:f>
        <x:v>0</x:v>
      </x:c>
      <x:c r="Q150" s="163" t="n">
        <x:f>IF(COUNTA(A150:D150,G150,K150:N150)=0,0,IF(OR(Listas!$B$19="Todos",E150=Listas!$B$19,E150="",COUNTIFS(Lotes!$A$5:$A$204,D150)&lt;&gt;1),1,0))</x:f>
        <x:v>0</x:v>
      </x:c>
      <x:c r="R150" s="1"/>
      <x:c r="S150" s="1"/>
      <x:c r="T150" s="1"/>
      <x:c r="U150" s="1"/>
      <x:c r="V150" s="1"/>
      <x:c r="W150" s="1"/>
    </x:row>
    <x:row r="151" ht="32" customHeight="1">
      <x:c r="A151" s="170"/>
      <x:c r="B151" s="179"/>
      <x:c r="C151" s="170"/>
      <x:c r="D151" s="170"/>
      <x:c r="E151" s="40" t="str">
        <x:f>IF($D151="","",IFERROR(INDEX(Lotes!$B$5:$B$204,MATCH($D151,Lotes!$A$5:$A$204,0)),""))</x:f>
      </x:c>
      <x:c r="F151" s="40" t="str">
        <x:f>IF($D151="","",IFERROR(INDEX(Lotes!$C$5:$C$204,MATCH($D151,Lotes!$A$5:$A$204,0)),""))</x:f>
      </x:c>
      <x:c r="G151" s="27"/>
      <x:c r="H151" s="40" t="str">
        <x:f>IF(A151="","",IF(O151&lt;&gt;"","n.a.",IF(OR(C151="Saída",C151="Perda",C151="Ajuste negativo"),-G151,G151)))</x:f>
      </x:c>
      <x:c r="I151" s="181" t="str">
        <x:f>IF($D151="","",IFERROR(INDEX(Lotes!$K$5:$K$204,MATCH($D151,Lotes!$A$5:$A$204,0)),0))</x:f>
      </x:c>
      <x:c r="J151" s="181" t="str">
        <x:f>IF(A151="","",IF(O151&lt;&gt;"","n.a.",ABS(H151)*I151))</x:f>
      </x:c>
      <x:c r="K151" s="27"/>
      <x:c r="L151" s="27"/>
      <x:c r="M151" s="27"/>
      <x:c r="N151" s="27"/>
      <x:c r="O151" s="163" t="str">
        <x:f>IF(COUNTA(A151:D151,G151,K151:N151)=0,"",IF(OR(A151="",COUNTIFS($A$5:$A$304,A151)&lt;&gt;1),"ID ausente ou duplicado",IF(OR(NOT(ISNUMBER(B151)),B151&lt;=0),"Data ausente ou inválida",IF(AND(C151&lt;&gt;"Entrada",C151&lt;&gt;"Saída",C151&lt;&gt;"Perda",C151&lt;&gt;"Ajuste positivo",C151&lt;&gt;"Ajuste negativo"),"Tipo de movimento inválido",IF(OR(D151="",COUNTIFS(Lotes!$A$5:$A$204,D151)&lt;&gt;1),"Lote ausente ou desconhecido",IF(COUNTIFS(Lotes!$A$5:$A$204,D151,Lotes!$S$5:$S$204,"?*")&gt;0,"Revisar cadastro do lote",IF(B151&lt;INDEX(Lotes!$E$5:$E$204,MATCH(D151,Lotes!$A$5:$A$204,0)),"Movimento anterior ao recebimento",IF(OR(NOT(ISNUMBER(G151)),G151&lt;=0),"Quantidade ausente ou inválida",""))))))))</x:f>
      </x:c>
      <x:c r="P151" s="163" t="n">
        <x:f>IF(O151="",0,1)</x:f>
        <x:v>0</x:v>
      </x:c>
      <x:c r="Q151" s="163" t="n">
        <x:f>IF(COUNTA(A151:D151,G151,K151:N151)=0,0,IF(OR(Listas!$B$19="Todos",E151=Listas!$B$19,E151="",COUNTIFS(Lotes!$A$5:$A$204,D151)&lt;&gt;1),1,0))</x:f>
        <x:v>0</x:v>
      </x:c>
      <x:c r="R151" s="1"/>
      <x:c r="S151" s="1"/>
      <x:c r="T151" s="1"/>
      <x:c r="U151" s="1"/>
      <x:c r="V151" s="1"/>
      <x:c r="W151" s="1"/>
    </x:row>
    <x:row r="152" ht="32" customHeight="1">
      <x:c r="A152" s="170"/>
      <x:c r="B152" s="179"/>
      <x:c r="C152" s="170"/>
      <x:c r="D152" s="170"/>
      <x:c r="E152" s="40" t="str">
        <x:f>IF($D152="","",IFERROR(INDEX(Lotes!$B$5:$B$204,MATCH($D152,Lotes!$A$5:$A$204,0)),""))</x:f>
      </x:c>
      <x:c r="F152" s="40" t="str">
        <x:f>IF($D152="","",IFERROR(INDEX(Lotes!$C$5:$C$204,MATCH($D152,Lotes!$A$5:$A$204,0)),""))</x:f>
      </x:c>
      <x:c r="G152" s="27"/>
      <x:c r="H152" s="40" t="str">
        <x:f>IF(A152="","",IF(O152&lt;&gt;"","n.a.",IF(OR(C152="Saída",C152="Perda",C152="Ajuste negativo"),-G152,G152)))</x:f>
      </x:c>
      <x:c r="I152" s="181" t="str">
        <x:f>IF($D152="","",IFERROR(INDEX(Lotes!$K$5:$K$204,MATCH($D152,Lotes!$A$5:$A$204,0)),0))</x:f>
      </x:c>
      <x:c r="J152" s="181" t="str">
        <x:f>IF(A152="","",IF(O152&lt;&gt;"","n.a.",ABS(H152)*I152))</x:f>
      </x:c>
      <x:c r="K152" s="27"/>
      <x:c r="L152" s="27"/>
      <x:c r="M152" s="27"/>
      <x:c r="N152" s="27"/>
      <x:c r="O152" s="163" t="str">
        <x:f>IF(COUNTA(A152:D152,G152,K152:N152)=0,"",IF(OR(A152="",COUNTIFS($A$5:$A$304,A152)&lt;&gt;1),"ID ausente ou duplicado",IF(OR(NOT(ISNUMBER(B152)),B152&lt;=0),"Data ausente ou inválida",IF(AND(C152&lt;&gt;"Entrada",C152&lt;&gt;"Saída",C152&lt;&gt;"Perda",C152&lt;&gt;"Ajuste positivo",C152&lt;&gt;"Ajuste negativo"),"Tipo de movimento inválido",IF(OR(D152="",COUNTIFS(Lotes!$A$5:$A$204,D152)&lt;&gt;1),"Lote ausente ou desconhecido",IF(COUNTIFS(Lotes!$A$5:$A$204,D152,Lotes!$S$5:$S$204,"?*")&gt;0,"Revisar cadastro do lote",IF(B152&lt;INDEX(Lotes!$E$5:$E$204,MATCH(D152,Lotes!$A$5:$A$204,0)),"Movimento anterior ao recebimento",IF(OR(NOT(ISNUMBER(G152)),G152&lt;=0),"Quantidade ausente ou inválida",""))))))))</x:f>
      </x:c>
      <x:c r="P152" s="163" t="n">
        <x:f>IF(O152="",0,1)</x:f>
        <x:v>0</x:v>
      </x:c>
      <x:c r="Q152" s="163" t="n">
        <x:f>IF(COUNTA(A152:D152,G152,K152:N152)=0,0,IF(OR(Listas!$B$19="Todos",E152=Listas!$B$19,E152="",COUNTIFS(Lotes!$A$5:$A$204,D152)&lt;&gt;1),1,0))</x:f>
        <x:v>0</x:v>
      </x:c>
      <x:c r="R152" s="1"/>
      <x:c r="S152" s="1"/>
      <x:c r="T152" s="1"/>
      <x:c r="U152" s="1"/>
      <x:c r="V152" s="1"/>
      <x:c r="W152" s="1"/>
    </x:row>
    <x:row r="153" ht="32" customHeight="1">
      <x:c r="A153" s="170"/>
      <x:c r="B153" s="179"/>
      <x:c r="C153" s="170"/>
      <x:c r="D153" s="170"/>
      <x:c r="E153" s="40" t="str">
        <x:f>IF($D153="","",IFERROR(INDEX(Lotes!$B$5:$B$204,MATCH($D153,Lotes!$A$5:$A$204,0)),""))</x:f>
      </x:c>
      <x:c r="F153" s="40" t="str">
        <x:f>IF($D153="","",IFERROR(INDEX(Lotes!$C$5:$C$204,MATCH($D153,Lotes!$A$5:$A$204,0)),""))</x:f>
      </x:c>
      <x:c r="G153" s="27"/>
      <x:c r="H153" s="40" t="str">
        <x:f>IF(A153="","",IF(O153&lt;&gt;"","n.a.",IF(OR(C153="Saída",C153="Perda",C153="Ajuste negativo"),-G153,G153)))</x:f>
      </x:c>
      <x:c r="I153" s="181" t="str">
        <x:f>IF($D153="","",IFERROR(INDEX(Lotes!$K$5:$K$204,MATCH($D153,Lotes!$A$5:$A$204,0)),0))</x:f>
      </x:c>
      <x:c r="J153" s="181" t="str">
        <x:f>IF(A153="","",IF(O153&lt;&gt;"","n.a.",ABS(H153)*I153))</x:f>
      </x:c>
      <x:c r="K153" s="27"/>
      <x:c r="L153" s="27"/>
      <x:c r="M153" s="27"/>
      <x:c r="N153" s="27"/>
      <x:c r="O153" s="163" t="str">
        <x:f>IF(COUNTA(A153:D153,G153,K153:N153)=0,"",IF(OR(A153="",COUNTIFS($A$5:$A$304,A153)&lt;&gt;1),"ID ausente ou duplicado",IF(OR(NOT(ISNUMBER(B153)),B153&lt;=0),"Data ausente ou inválida",IF(AND(C153&lt;&gt;"Entrada",C153&lt;&gt;"Saída",C153&lt;&gt;"Perda",C153&lt;&gt;"Ajuste positivo",C153&lt;&gt;"Ajuste negativo"),"Tipo de movimento inválido",IF(OR(D153="",COUNTIFS(Lotes!$A$5:$A$204,D153)&lt;&gt;1),"Lote ausente ou desconhecido",IF(COUNTIFS(Lotes!$A$5:$A$204,D153,Lotes!$S$5:$S$204,"?*")&gt;0,"Revisar cadastro do lote",IF(B153&lt;INDEX(Lotes!$E$5:$E$204,MATCH(D153,Lotes!$A$5:$A$204,0)),"Movimento anterior ao recebimento",IF(OR(NOT(ISNUMBER(G153)),G153&lt;=0),"Quantidade ausente ou inválida",""))))))))</x:f>
      </x:c>
      <x:c r="P153" s="163" t="n">
        <x:f>IF(O153="",0,1)</x:f>
        <x:v>0</x:v>
      </x:c>
      <x:c r="Q153" s="163" t="n">
        <x:f>IF(COUNTA(A153:D153,G153,K153:N153)=0,0,IF(OR(Listas!$B$19="Todos",E153=Listas!$B$19,E153="",COUNTIFS(Lotes!$A$5:$A$204,D153)&lt;&gt;1),1,0))</x:f>
        <x:v>0</x:v>
      </x:c>
      <x:c r="R153" s="1"/>
      <x:c r="S153" s="1"/>
      <x:c r="T153" s="1"/>
      <x:c r="U153" s="1"/>
      <x:c r="V153" s="1"/>
      <x:c r="W153" s="1"/>
    </x:row>
    <x:row r="154" ht="32" customHeight="1">
      <x:c r="A154" s="170"/>
      <x:c r="B154" s="179"/>
      <x:c r="C154" s="170"/>
      <x:c r="D154" s="170"/>
      <x:c r="E154" s="40" t="str">
        <x:f>IF($D154="","",IFERROR(INDEX(Lotes!$B$5:$B$204,MATCH($D154,Lotes!$A$5:$A$204,0)),""))</x:f>
      </x:c>
      <x:c r="F154" s="40" t="str">
        <x:f>IF($D154="","",IFERROR(INDEX(Lotes!$C$5:$C$204,MATCH($D154,Lotes!$A$5:$A$204,0)),""))</x:f>
      </x:c>
      <x:c r="G154" s="27"/>
      <x:c r="H154" s="40" t="str">
        <x:f>IF(A154="","",IF(O154&lt;&gt;"","n.a.",IF(OR(C154="Saída",C154="Perda",C154="Ajuste negativo"),-G154,G154)))</x:f>
      </x:c>
      <x:c r="I154" s="181" t="str">
        <x:f>IF($D154="","",IFERROR(INDEX(Lotes!$K$5:$K$204,MATCH($D154,Lotes!$A$5:$A$204,0)),0))</x:f>
      </x:c>
      <x:c r="J154" s="181" t="str">
        <x:f>IF(A154="","",IF(O154&lt;&gt;"","n.a.",ABS(H154)*I154))</x:f>
      </x:c>
      <x:c r="K154" s="27"/>
      <x:c r="L154" s="27"/>
      <x:c r="M154" s="27"/>
      <x:c r="N154" s="27"/>
      <x:c r="O154" s="163" t="str">
        <x:f>IF(COUNTA(A154:D154,G154,K154:N154)=0,"",IF(OR(A154="",COUNTIFS($A$5:$A$304,A154)&lt;&gt;1),"ID ausente ou duplicado",IF(OR(NOT(ISNUMBER(B154)),B154&lt;=0),"Data ausente ou inválida",IF(AND(C154&lt;&gt;"Entrada",C154&lt;&gt;"Saída",C154&lt;&gt;"Perda",C154&lt;&gt;"Ajuste positivo",C154&lt;&gt;"Ajuste negativo"),"Tipo de movimento inválido",IF(OR(D154="",COUNTIFS(Lotes!$A$5:$A$204,D154)&lt;&gt;1),"Lote ausente ou desconhecido",IF(COUNTIFS(Lotes!$A$5:$A$204,D154,Lotes!$S$5:$S$204,"?*")&gt;0,"Revisar cadastro do lote",IF(B154&lt;INDEX(Lotes!$E$5:$E$204,MATCH(D154,Lotes!$A$5:$A$204,0)),"Movimento anterior ao recebimento",IF(OR(NOT(ISNUMBER(G154)),G154&lt;=0),"Quantidade ausente ou inválida",""))))))))</x:f>
      </x:c>
      <x:c r="P154" s="163" t="n">
        <x:f>IF(O154="",0,1)</x:f>
        <x:v>0</x:v>
      </x:c>
      <x:c r="Q154" s="163" t="n">
        <x:f>IF(COUNTA(A154:D154,G154,K154:N154)=0,0,IF(OR(Listas!$B$19="Todos",E154=Listas!$B$19,E154="",COUNTIFS(Lotes!$A$5:$A$204,D154)&lt;&gt;1),1,0))</x:f>
        <x:v>0</x:v>
      </x:c>
      <x:c r="R154" s="1"/>
      <x:c r="S154" s="1"/>
      <x:c r="T154" s="1"/>
      <x:c r="U154" s="1"/>
      <x:c r="V154" s="1"/>
      <x:c r="W154" s="1"/>
    </x:row>
    <x:row r="155" ht="32" customHeight="1">
      <x:c r="A155" s="170"/>
      <x:c r="B155" s="179"/>
      <x:c r="C155" s="170"/>
      <x:c r="D155" s="170"/>
      <x:c r="E155" s="40" t="str">
        <x:f>IF($D155="","",IFERROR(INDEX(Lotes!$B$5:$B$204,MATCH($D155,Lotes!$A$5:$A$204,0)),""))</x:f>
      </x:c>
      <x:c r="F155" s="40" t="str">
        <x:f>IF($D155="","",IFERROR(INDEX(Lotes!$C$5:$C$204,MATCH($D155,Lotes!$A$5:$A$204,0)),""))</x:f>
      </x:c>
      <x:c r="G155" s="27"/>
      <x:c r="H155" s="40" t="str">
        <x:f>IF(A155="","",IF(O155&lt;&gt;"","n.a.",IF(OR(C155="Saída",C155="Perda",C155="Ajuste negativo"),-G155,G155)))</x:f>
      </x:c>
      <x:c r="I155" s="181" t="str">
        <x:f>IF($D155="","",IFERROR(INDEX(Lotes!$K$5:$K$204,MATCH($D155,Lotes!$A$5:$A$204,0)),0))</x:f>
      </x:c>
      <x:c r="J155" s="181" t="str">
        <x:f>IF(A155="","",IF(O155&lt;&gt;"","n.a.",ABS(H155)*I155))</x:f>
      </x:c>
      <x:c r="K155" s="27"/>
      <x:c r="L155" s="27"/>
      <x:c r="M155" s="27"/>
      <x:c r="N155" s="27"/>
      <x:c r="O155" s="163" t="str">
        <x:f>IF(COUNTA(A155:D155,G155,K155:N155)=0,"",IF(OR(A155="",COUNTIFS($A$5:$A$304,A155)&lt;&gt;1),"ID ausente ou duplicado",IF(OR(NOT(ISNUMBER(B155)),B155&lt;=0),"Data ausente ou inválida",IF(AND(C155&lt;&gt;"Entrada",C155&lt;&gt;"Saída",C155&lt;&gt;"Perda",C155&lt;&gt;"Ajuste positivo",C155&lt;&gt;"Ajuste negativo"),"Tipo de movimento inválido",IF(OR(D155="",COUNTIFS(Lotes!$A$5:$A$204,D155)&lt;&gt;1),"Lote ausente ou desconhecido",IF(COUNTIFS(Lotes!$A$5:$A$204,D155,Lotes!$S$5:$S$204,"?*")&gt;0,"Revisar cadastro do lote",IF(B155&lt;INDEX(Lotes!$E$5:$E$204,MATCH(D155,Lotes!$A$5:$A$204,0)),"Movimento anterior ao recebimento",IF(OR(NOT(ISNUMBER(G155)),G155&lt;=0),"Quantidade ausente ou inválida",""))))))))</x:f>
      </x:c>
      <x:c r="P155" s="163" t="n">
        <x:f>IF(O155="",0,1)</x:f>
        <x:v>0</x:v>
      </x:c>
      <x:c r="Q155" s="163" t="n">
        <x:f>IF(COUNTA(A155:D155,G155,K155:N155)=0,0,IF(OR(Listas!$B$19="Todos",E155=Listas!$B$19,E155="",COUNTIFS(Lotes!$A$5:$A$204,D155)&lt;&gt;1),1,0))</x:f>
        <x:v>0</x:v>
      </x:c>
      <x:c r="R155" s="1"/>
      <x:c r="S155" s="1"/>
      <x:c r="T155" s="1"/>
      <x:c r="U155" s="1"/>
      <x:c r="V155" s="1"/>
      <x:c r="W155" s="1"/>
    </x:row>
    <x:row r="156" ht="32" customHeight="1">
      <x:c r="A156" s="170"/>
      <x:c r="B156" s="179"/>
      <x:c r="C156" s="170"/>
      <x:c r="D156" s="170"/>
      <x:c r="E156" s="40" t="str">
        <x:f>IF($D156="","",IFERROR(INDEX(Lotes!$B$5:$B$204,MATCH($D156,Lotes!$A$5:$A$204,0)),""))</x:f>
      </x:c>
      <x:c r="F156" s="40" t="str">
        <x:f>IF($D156="","",IFERROR(INDEX(Lotes!$C$5:$C$204,MATCH($D156,Lotes!$A$5:$A$204,0)),""))</x:f>
      </x:c>
      <x:c r="G156" s="27"/>
      <x:c r="H156" s="40" t="str">
        <x:f>IF(A156="","",IF(O156&lt;&gt;"","n.a.",IF(OR(C156="Saída",C156="Perda",C156="Ajuste negativo"),-G156,G156)))</x:f>
      </x:c>
      <x:c r="I156" s="181" t="str">
        <x:f>IF($D156="","",IFERROR(INDEX(Lotes!$K$5:$K$204,MATCH($D156,Lotes!$A$5:$A$204,0)),0))</x:f>
      </x:c>
      <x:c r="J156" s="181" t="str">
        <x:f>IF(A156="","",IF(O156&lt;&gt;"","n.a.",ABS(H156)*I156))</x:f>
      </x:c>
      <x:c r="K156" s="27"/>
      <x:c r="L156" s="27"/>
      <x:c r="M156" s="27"/>
      <x:c r="N156" s="27"/>
      <x:c r="O156" s="163" t="str">
        <x:f>IF(COUNTA(A156:D156,G156,K156:N156)=0,"",IF(OR(A156="",COUNTIFS($A$5:$A$304,A156)&lt;&gt;1),"ID ausente ou duplicado",IF(OR(NOT(ISNUMBER(B156)),B156&lt;=0),"Data ausente ou inválida",IF(AND(C156&lt;&gt;"Entrada",C156&lt;&gt;"Saída",C156&lt;&gt;"Perda",C156&lt;&gt;"Ajuste positivo",C156&lt;&gt;"Ajuste negativo"),"Tipo de movimento inválido",IF(OR(D156="",COUNTIFS(Lotes!$A$5:$A$204,D156)&lt;&gt;1),"Lote ausente ou desconhecido",IF(COUNTIFS(Lotes!$A$5:$A$204,D156,Lotes!$S$5:$S$204,"?*")&gt;0,"Revisar cadastro do lote",IF(B156&lt;INDEX(Lotes!$E$5:$E$204,MATCH(D156,Lotes!$A$5:$A$204,0)),"Movimento anterior ao recebimento",IF(OR(NOT(ISNUMBER(G156)),G156&lt;=0),"Quantidade ausente ou inválida",""))))))))</x:f>
      </x:c>
      <x:c r="P156" s="163" t="n">
        <x:f>IF(O156="",0,1)</x:f>
        <x:v>0</x:v>
      </x:c>
      <x:c r="Q156" s="163" t="n">
        <x:f>IF(COUNTA(A156:D156,G156,K156:N156)=0,0,IF(OR(Listas!$B$19="Todos",E156=Listas!$B$19,E156="",COUNTIFS(Lotes!$A$5:$A$204,D156)&lt;&gt;1),1,0))</x:f>
        <x:v>0</x:v>
      </x:c>
      <x:c r="R156" s="1"/>
      <x:c r="S156" s="1"/>
      <x:c r="T156" s="1"/>
      <x:c r="U156" s="1"/>
      <x:c r="V156" s="1"/>
      <x:c r="W156" s="1"/>
    </x:row>
    <x:row r="157" ht="32" customHeight="1">
      <x:c r="A157" s="170"/>
      <x:c r="B157" s="179"/>
      <x:c r="C157" s="170"/>
      <x:c r="D157" s="170"/>
      <x:c r="E157" s="40" t="str">
        <x:f>IF($D157="","",IFERROR(INDEX(Lotes!$B$5:$B$204,MATCH($D157,Lotes!$A$5:$A$204,0)),""))</x:f>
      </x:c>
      <x:c r="F157" s="40" t="str">
        <x:f>IF($D157="","",IFERROR(INDEX(Lotes!$C$5:$C$204,MATCH($D157,Lotes!$A$5:$A$204,0)),""))</x:f>
      </x:c>
      <x:c r="G157" s="27"/>
      <x:c r="H157" s="40" t="str">
        <x:f>IF(A157="","",IF(O157&lt;&gt;"","n.a.",IF(OR(C157="Saída",C157="Perda",C157="Ajuste negativo"),-G157,G157)))</x:f>
      </x:c>
      <x:c r="I157" s="181" t="str">
        <x:f>IF($D157="","",IFERROR(INDEX(Lotes!$K$5:$K$204,MATCH($D157,Lotes!$A$5:$A$204,0)),0))</x:f>
      </x:c>
      <x:c r="J157" s="181" t="str">
        <x:f>IF(A157="","",IF(O157&lt;&gt;"","n.a.",ABS(H157)*I157))</x:f>
      </x:c>
      <x:c r="K157" s="27"/>
      <x:c r="L157" s="27"/>
      <x:c r="M157" s="27"/>
      <x:c r="N157" s="27"/>
      <x:c r="O157" s="163" t="str">
        <x:f>IF(COUNTA(A157:D157,G157,K157:N157)=0,"",IF(OR(A157="",COUNTIFS($A$5:$A$304,A157)&lt;&gt;1),"ID ausente ou duplicado",IF(OR(NOT(ISNUMBER(B157)),B157&lt;=0),"Data ausente ou inválida",IF(AND(C157&lt;&gt;"Entrada",C157&lt;&gt;"Saída",C157&lt;&gt;"Perda",C157&lt;&gt;"Ajuste positivo",C157&lt;&gt;"Ajuste negativo"),"Tipo de movimento inválido",IF(OR(D157="",COUNTIFS(Lotes!$A$5:$A$204,D157)&lt;&gt;1),"Lote ausente ou desconhecido",IF(COUNTIFS(Lotes!$A$5:$A$204,D157,Lotes!$S$5:$S$204,"?*")&gt;0,"Revisar cadastro do lote",IF(B157&lt;INDEX(Lotes!$E$5:$E$204,MATCH(D157,Lotes!$A$5:$A$204,0)),"Movimento anterior ao recebimento",IF(OR(NOT(ISNUMBER(G157)),G157&lt;=0),"Quantidade ausente ou inválida",""))))))))</x:f>
      </x:c>
      <x:c r="P157" s="163" t="n">
        <x:f>IF(O157="",0,1)</x:f>
        <x:v>0</x:v>
      </x:c>
      <x:c r="Q157" s="163" t="n">
        <x:f>IF(COUNTA(A157:D157,G157,K157:N157)=0,0,IF(OR(Listas!$B$19="Todos",E157=Listas!$B$19,E157="",COUNTIFS(Lotes!$A$5:$A$204,D157)&lt;&gt;1),1,0))</x:f>
        <x:v>0</x:v>
      </x:c>
      <x:c r="R157" s="1"/>
      <x:c r="S157" s="1"/>
      <x:c r="T157" s="1"/>
      <x:c r="U157" s="1"/>
      <x:c r="V157" s="1"/>
      <x:c r="W157" s="1"/>
    </x:row>
    <x:row r="158" ht="32" customHeight="1">
      <x:c r="A158" s="170"/>
      <x:c r="B158" s="179"/>
      <x:c r="C158" s="170"/>
      <x:c r="D158" s="170"/>
      <x:c r="E158" s="40" t="str">
        <x:f>IF($D158="","",IFERROR(INDEX(Lotes!$B$5:$B$204,MATCH($D158,Lotes!$A$5:$A$204,0)),""))</x:f>
      </x:c>
      <x:c r="F158" s="40" t="str">
        <x:f>IF($D158="","",IFERROR(INDEX(Lotes!$C$5:$C$204,MATCH($D158,Lotes!$A$5:$A$204,0)),""))</x:f>
      </x:c>
      <x:c r="G158" s="27"/>
      <x:c r="H158" s="40" t="str">
        <x:f>IF(A158="","",IF(O158&lt;&gt;"","n.a.",IF(OR(C158="Saída",C158="Perda",C158="Ajuste negativo"),-G158,G158)))</x:f>
      </x:c>
      <x:c r="I158" s="181" t="str">
        <x:f>IF($D158="","",IFERROR(INDEX(Lotes!$K$5:$K$204,MATCH($D158,Lotes!$A$5:$A$204,0)),0))</x:f>
      </x:c>
      <x:c r="J158" s="181" t="str">
        <x:f>IF(A158="","",IF(O158&lt;&gt;"","n.a.",ABS(H158)*I158))</x:f>
      </x:c>
      <x:c r="K158" s="27"/>
      <x:c r="L158" s="27"/>
      <x:c r="M158" s="27"/>
      <x:c r="N158" s="27"/>
      <x:c r="O158" s="163" t="str">
        <x:f>IF(COUNTA(A158:D158,G158,K158:N158)=0,"",IF(OR(A158="",COUNTIFS($A$5:$A$304,A158)&lt;&gt;1),"ID ausente ou duplicado",IF(OR(NOT(ISNUMBER(B158)),B158&lt;=0),"Data ausente ou inválida",IF(AND(C158&lt;&gt;"Entrada",C158&lt;&gt;"Saída",C158&lt;&gt;"Perda",C158&lt;&gt;"Ajuste positivo",C158&lt;&gt;"Ajuste negativo"),"Tipo de movimento inválido",IF(OR(D158="",COUNTIFS(Lotes!$A$5:$A$204,D158)&lt;&gt;1),"Lote ausente ou desconhecido",IF(COUNTIFS(Lotes!$A$5:$A$204,D158,Lotes!$S$5:$S$204,"?*")&gt;0,"Revisar cadastro do lote",IF(B158&lt;INDEX(Lotes!$E$5:$E$204,MATCH(D158,Lotes!$A$5:$A$204,0)),"Movimento anterior ao recebimento",IF(OR(NOT(ISNUMBER(G158)),G158&lt;=0),"Quantidade ausente ou inválida",""))))))))</x:f>
      </x:c>
      <x:c r="P158" s="163" t="n">
        <x:f>IF(O158="",0,1)</x:f>
        <x:v>0</x:v>
      </x:c>
      <x:c r="Q158" s="163" t="n">
        <x:f>IF(COUNTA(A158:D158,G158,K158:N158)=0,0,IF(OR(Listas!$B$19="Todos",E158=Listas!$B$19,E158="",COUNTIFS(Lotes!$A$5:$A$204,D158)&lt;&gt;1),1,0))</x:f>
        <x:v>0</x:v>
      </x:c>
      <x:c r="R158" s="1"/>
      <x:c r="S158" s="1"/>
      <x:c r="T158" s="1"/>
      <x:c r="U158" s="1"/>
      <x:c r="V158" s="1"/>
      <x:c r="W158" s="1"/>
    </x:row>
    <x:row r="159" ht="32" customHeight="1">
      <x:c r="A159" s="170"/>
      <x:c r="B159" s="179"/>
      <x:c r="C159" s="170"/>
      <x:c r="D159" s="170"/>
      <x:c r="E159" s="40" t="str">
        <x:f>IF($D159="","",IFERROR(INDEX(Lotes!$B$5:$B$204,MATCH($D159,Lotes!$A$5:$A$204,0)),""))</x:f>
      </x:c>
      <x:c r="F159" s="40" t="str">
        <x:f>IF($D159="","",IFERROR(INDEX(Lotes!$C$5:$C$204,MATCH($D159,Lotes!$A$5:$A$204,0)),""))</x:f>
      </x:c>
      <x:c r="G159" s="27"/>
      <x:c r="H159" s="40" t="str">
        <x:f>IF(A159="","",IF(O159&lt;&gt;"","n.a.",IF(OR(C159="Saída",C159="Perda",C159="Ajuste negativo"),-G159,G159)))</x:f>
      </x:c>
      <x:c r="I159" s="181" t="str">
        <x:f>IF($D159="","",IFERROR(INDEX(Lotes!$K$5:$K$204,MATCH($D159,Lotes!$A$5:$A$204,0)),0))</x:f>
      </x:c>
      <x:c r="J159" s="181" t="str">
        <x:f>IF(A159="","",IF(O159&lt;&gt;"","n.a.",ABS(H159)*I159))</x:f>
      </x:c>
      <x:c r="K159" s="27"/>
      <x:c r="L159" s="27"/>
      <x:c r="M159" s="27"/>
      <x:c r="N159" s="27"/>
      <x:c r="O159" s="163" t="str">
        <x:f>IF(COUNTA(A159:D159,G159,K159:N159)=0,"",IF(OR(A159="",COUNTIFS($A$5:$A$304,A159)&lt;&gt;1),"ID ausente ou duplicado",IF(OR(NOT(ISNUMBER(B159)),B159&lt;=0),"Data ausente ou inválida",IF(AND(C159&lt;&gt;"Entrada",C159&lt;&gt;"Saída",C159&lt;&gt;"Perda",C159&lt;&gt;"Ajuste positivo",C159&lt;&gt;"Ajuste negativo"),"Tipo de movimento inválido",IF(OR(D159="",COUNTIFS(Lotes!$A$5:$A$204,D159)&lt;&gt;1),"Lote ausente ou desconhecido",IF(COUNTIFS(Lotes!$A$5:$A$204,D159,Lotes!$S$5:$S$204,"?*")&gt;0,"Revisar cadastro do lote",IF(B159&lt;INDEX(Lotes!$E$5:$E$204,MATCH(D159,Lotes!$A$5:$A$204,0)),"Movimento anterior ao recebimento",IF(OR(NOT(ISNUMBER(G159)),G159&lt;=0),"Quantidade ausente ou inválida",""))))))))</x:f>
      </x:c>
      <x:c r="P159" s="163" t="n">
        <x:f>IF(O159="",0,1)</x:f>
        <x:v>0</x:v>
      </x:c>
      <x:c r="Q159" s="163" t="n">
        <x:f>IF(COUNTA(A159:D159,G159,K159:N159)=0,0,IF(OR(Listas!$B$19="Todos",E159=Listas!$B$19,E159="",COUNTIFS(Lotes!$A$5:$A$204,D159)&lt;&gt;1),1,0))</x:f>
        <x:v>0</x:v>
      </x:c>
      <x:c r="R159" s="1"/>
      <x:c r="S159" s="1"/>
      <x:c r="T159" s="1"/>
      <x:c r="U159" s="1"/>
      <x:c r="V159" s="1"/>
      <x:c r="W159" s="1"/>
    </x:row>
    <x:row r="160" ht="32" customHeight="1">
      <x:c r="A160" s="170"/>
      <x:c r="B160" s="179"/>
      <x:c r="C160" s="170"/>
      <x:c r="D160" s="170"/>
      <x:c r="E160" s="40" t="str">
        <x:f>IF($D160="","",IFERROR(INDEX(Lotes!$B$5:$B$204,MATCH($D160,Lotes!$A$5:$A$204,0)),""))</x:f>
      </x:c>
      <x:c r="F160" s="40" t="str">
        <x:f>IF($D160="","",IFERROR(INDEX(Lotes!$C$5:$C$204,MATCH($D160,Lotes!$A$5:$A$204,0)),""))</x:f>
      </x:c>
      <x:c r="G160" s="27"/>
      <x:c r="H160" s="40" t="str">
        <x:f>IF(A160="","",IF(O160&lt;&gt;"","n.a.",IF(OR(C160="Saída",C160="Perda",C160="Ajuste negativo"),-G160,G160)))</x:f>
      </x:c>
      <x:c r="I160" s="181" t="str">
        <x:f>IF($D160="","",IFERROR(INDEX(Lotes!$K$5:$K$204,MATCH($D160,Lotes!$A$5:$A$204,0)),0))</x:f>
      </x:c>
      <x:c r="J160" s="181" t="str">
        <x:f>IF(A160="","",IF(O160&lt;&gt;"","n.a.",ABS(H160)*I160))</x:f>
      </x:c>
      <x:c r="K160" s="27"/>
      <x:c r="L160" s="27"/>
      <x:c r="M160" s="27"/>
      <x:c r="N160" s="27"/>
      <x:c r="O160" s="163" t="str">
        <x:f>IF(COUNTA(A160:D160,G160,K160:N160)=0,"",IF(OR(A160="",COUNTIFS($A$5:$A$304,A160)&lt;&gt;1),"ID ausente ou duplicado",IF(OR(NOT(ISNUMBER(B160)),B160&lt;=0),"Data ausente ou inválida",IF(AND(C160&lt;&gt;"Entrada",C160&lt;&gt;"Saída",C160&lt;&gt;"Perda",C160&lt;&gt;"Ajuste positivo",C160&lt;&gt;"Ajuste negativo"),"Tipo de movimento inválido",IF(OR(D160="",COUNTIFS(Lotes!$A$5:$A$204,D160)&lt;&gt;1),"Lote ausente ou desconhecido",IF(COUNTIFS(Lotes!$A$5:$A$204,D160,Lotes!$S$5:$S$204,"?*")&gt;0,"Revisar cadastro do lote",IF(B160&lt;INDEX(Lotes!$E$5:$E$204,MATCH(D160,Lotes!$A$5:$A$204,0)),"Movimento anterior ao recebimento",IF(OR(NOT(ISNUMBER(G160)),G160&lt;=0),"Quantidade ausente ou inválida",""))))))))</x:f>
      </x:c>
      <x:c r="P160" s="163" t="n">
        <x:f>IF(O160="",0,1)</x:f>
        <x:v>0</x:v>
      </x:c>
      <x:c r="Q160" s="163" t="n">
        <x:f>IF(COUNTA(A160:D160,G160,K160:N160)=0,0,IF(OR(Listas!$B$19="Todos",E160=Listas!$B$19,E160="",COUNTIFS(Lotes!$A$5:$A$204,D160)&lt;&gt;1),1,0))</x:f>
        <x:v>0</x:v>
      </x:c>
      <x:c r="R160" s="1"/>
      <x:c r="S160" s="1"/>
      <x:c r="T160" s="1"/>
      <x:c r="U160" s="1"/>
      <x:c r="V160" s="1"/>
      <x:c r="W160" s="1"/>
    </x:row>
    <x:row r="161" ht="32" customHeight="1">
      <x:c r="A161" s="170"/>
      <x:c r="B161" s="179"/>
      <x:c r="C161" s="170"/>
      <x:c r="D161" s="170"/>
      <x:c r="E161" s="40" t="str">
        <x:f>IF($D161="","",IFERROR(INDEX(Lotes!$B$5:$B$204,MATCH($D161,Lotes!$A$5:$A$204,0)),""))</x:f>
      </x:c>
      <x:c r="F161" s="40" t="str">
        <x:f>IF($D161="","",IFERROR(INDEX(Lotes!$C$5:$C$204,MATCH($D161,Lotes!$A$5:$A$204,0)),""))</x:f>
      </x:c>
      <x:c r="G161" s="27"/>
      <x:c r="H161" s="40" t="str">
        <x:f>IF(A161="","",IF(O161&lt;&gt;"","n.a.",IF(OR(C161="Saída",C161="Perda",C161="Ajuste negativo"),-G161,G161)))</x:f>
      </x:c>
      <x:c r="I161" s="181" t="str">
        <x:f>IF($D161="","",IFERROR(INDEX(Lotes!$K$5:$K$204,MATCH($D161,Lotes!$A$5:$A$204,0)),0))</x:f>
      </x:c>
      <x:c r="J161" s="181" t="str">
        <x:f>IF(A161="","",IF(O161&lt;&gt;"","n.a.",ABS(H161)*I161))</x:f>
      </x:c>
      <x:c r="K161" s="27"/>
      <x:c r="L161" s="27"/>
      <x:c r="M161" s="27"/>
      <x:c r="N161" s="27"/>
      <x:c r="O161" s="163" t="str">
        <x:f>IF(COUNTA(A161:D161,G161,K161:N161)=0,"",IF(OR(A161="",COUNTIFS($A$5:$A$304,A161)&lt;&gt;1),"ID ausente ou duplicado",IF(OR(NOT(ISNUMBER(B161)),B161&lt;=0),"Data ausente ou inválida",IF(AND(C161&lt;&gt;"Entrada",C161&lt;&gt;"Saída",C161&lt;&gt;"Perda",C161&lt;&gt;"Ajuste positivo",C161&lt;&gt;"Ajuste negativo"),"Tipo de movimento inválido",IF(OR(D161="",COUNTIFS(Lotes!$A$5:$A$204,D161)&lt;&gt;1),"Lote ausente ou desconhecido",IF(COUNTIFS(Lotes!$A$5:$A$204,D161,Lotes!$S$5:$S$204,"?*")&gt;0,"Revisar cadastro do lote",IF(B161&lt;INDEX(Lotes!$E$5:$E$204,MATCH(D161,Lotes!$A$5:$A$204,0)),"Movimento anterior ao recebimento",IF(OR(NOT(ISNUMBER(G161)),G161&lt;=0),"Quantidade ausente ou inválida",""))))))))</x:f>
      </x:c>
      <x:c r="P161" s="163" t="n">
        <x:f>IF(O161="",0,1)</x:f>
        <x:v>0</x:v>
      </x:c>
      <x:c r="Q161" s="163" t="n">
        <x:f>IF(COUNTA(A161:D161,G161,K161:N161)=0,0,IF(OR(Listas!$B$19="Todos",E161=Listas!$B$19,E161="",COUNTIFS(Lotes!$A$5:$A$204,D161)&lt;&gt;1),1,0))</x:f>
        <x:v>0</x:v>
      </x:c>
      <x:c r="R161" s="1"/>
      <x:c r="S161" s="1"/>
      <x:c r="T161" s="1"/>
      <x:c r="U161" s="1"/>
      <x:c r="V161" s="1"/>
      <x:c r="W161" s="1"/>
    </x:row>
    <x:row r="162" ht="32" customHeight="1">
      <x:c r="A162" s="170"/>
      <x:c r="B162" s="179"/>
      <x:c r="C162" s="170"/>
      <x:c r="D162" s="170"/>
      <x:c r="E162" s="40" t="str">
        <x:f>IF($D162="","",IFERROR(INDEX(Lotes!$B$5:$B$204,MATCH($D162,Lotes!$A$5:$A$204,0)),""))</x:f>
      </x:c>
      <x:c r="F162" s="40" t="str">
        <x:f>IF($D162="","",IFERROR(INDEX(Lotes!$C$5:$C$204,MATCH($D162,Lotes!$A$5:$A$204,0)),""))</x:f>
      </x:c>
      <x:c r="G162" s="27"/>
      <x:c r="H162" s="40" t="str">
        <x:f>IF(A162="","",IF(O162&lt;&gt;"","n.a.",IF(OR(C162="Saída",C162="Perda",C162="Ajuste negativo"),-G162,G162)))</x:f>
      </x:c>
      <x:c r="I162" s="181" t="str">
        <x:f>IF($D162="","",IFERROR(INDEX(Lotes!$K$5:$K$204,MATCH($D162,Lotes!$A$5:$A$204,0)),0))</x:f>
      </x:c>
      <x:c r="J162" s="181" t="str">
        <x:f>IF(A162="","",IF(O162&lt;&gt;"","n.a.",ABS(H162)*I162))</x:f>
      </x:c>
      <x:c r="K162" s="27"/>
      <x:c r="L162" s="27"/>
      <x:c r="M162" s="27"/>
      <x:c r="N162" s="27"/>
      <x:c r="O162" s="163" t="str">
        <x:f>IF(COUNTA(A162:D162,G162,K162:N162)=0,"",IF(OR(A162="",COUNTIFS($A$5:$A$304,A162)&lt;&gt;1),"ID ausente ou duplicado",IF(OR(NOT(ISNUMBER(B162)),B162&lt;=0),"Data ausente ou inválida",IF(AND(C162&lt;&gt;"Entrada",C162&lt;&gt;"Saída",C162&lt;&gt;"Perda",C162&lt;&gt;"Ajuste positivo",C162&lt;&gt;"Ajuste negativo"),"Tipo de movimento inválido",IF(OR(D162="",COUNTIFS(Lotes!$A$5:$A$204,D162)&lt;&gt;1),"Lote ausente ou desconhecido",IF(COUNTIFS(Lotes!$A$5:$A$204,D162,Lotes!$S$5:$S$204,"?*")&gt;0,"Revisar cadastro do lote",IF(B162&lt;INDEX(Lotes!$E$5:$E$204,MATCH(D162,Lotes!$A$5:$A$204,0)),"Movimento anterior ao recebimento",IF(OR(NOT(ISNUMBER(G162)),G162&lt;=0),"Quantidade ausente ou inválida",""))))))))</x:f>
      </x:c>
      <x:c r="P162" s="163" t="n">
        <x:f>IF(O162="",0,1)</x:f>
        <x:v>0</x:v>
      </x:c>
      <x:c r="Q162" s="163" t="n">
        <x:f>IF(COUNTA(A162:D162,G162,K162:N162)=0,0,IF(OR(Listas!$B$19="Todos",E162=Listas!$B$19,E162="",COUNTIFS(Lotes!$A$5:$A$204,D162)&lt;&gt;1),1,0))</x:f>
        <x:v>0</x:v>
      </x:c>
      <x:c r="R162" s="1"/>
      <x:c r="S162" s="1"/>
      <x:c r="T162" s="1"/>
      <x:c r="U162" s="1"/>
      <x:c r="V162" s="1"/>
      <x:c r="W162" s="1"/>
    </x:row>
    <x:row r="163" ht="32" customHeight="1">
      <x:c r="A163" s="170"/>
      <x:c r="B163" s="179"/>
      <x:c r="C163" s="170"/>
      <x:c r="D163" s="170"/>
      <x:c r="E163" s="40" t="str">
        <x:f>IF($D163="","",IFERROR(INDEX(Lotes!$B$5:$B$204,MATCH($D163,Lotes!$A$5:$A$204,0)),""))</x:f>
      </x:c>
      <x:c r="F163" s="40" t="str">
        <x:f>IF($D163="","",IFERROR(INDEX(Lotes!$C$5:$C$204,MATCH($D163,Lotes!$A$5:$A$204,0)),""))</x:f>
      </x:c>
      <x:c r="G163" s="27"/>
      <x:c r="H163" s="40" t="str">
        <x:f>IF(A163="","",IF(O163&lt;&gt;"","n.a.",IF(OR(C163="Saída",C163="Perda",C163="Ajuste negativo"),-G163,G163)))</x:f>
      </x:c>
      <x:c r="I163" s="181" t="str">
        <x:f>IF($D163="","",IFERROR(INDEX(Lotes!$K$5:$K$204,MATCH($D163,Lotes!$A$5:$A$204,0)),0))</x:f>
      </x:c>
      <x:c r="J163" s="181" t="str">
        <x:f>IF(A163="","",IF(O163&lt;&gt;"","n.a.",ABS(H163)*I163))</x:f>
      </x:c>
      <x:c r="K163" s="27"/>
      <x:c r="L163" s="27"/>
      <x:c r="M163" s="27"/>
      <x:c r="N163" s="27"/>
      <x:c r="O163" s="163" t="str">
        <x:f>IF(COUNTA(A163:D163,G163,K163:N163)=0,"",IF(OR(A163="",COUNTIFS($A$5:$A$304,A163)&lt;&gt;1),"ID ausente ou duplicado",IF(OR(NOT(ISNUMBER(B163)),B163&lt;=0),"Data ausente ou inválida",IF(AND(C163&lt;&gt;"Entrada",C163&lt;&gt;"Saída",C163&lt;&gt;"Perda",C163&lt;&gt;"Ajuste positivo",C163&lt;&gt;"Ajuste negativo"),"Tipo de movimento inválido",IF(OR(D163="",COUNTIFS(Lotes!$A$5:$A$204,D163)&lt;&gt;1),"Lote ausente ou desconhecido",IF(COUNTIFS(Lotes!$A$5:$A$204,D163,Lotes!$S$5:$S$204,"?*")&gt;0,"Revisar cadastro do lote",IF(B163&lt;INDEX(Lotes!$E$5:$E$204,MATCH(D163,Lotes!$A$5:$A$204,0)),"Movimento anterior ao recebimento",IF(OR(NOT(ISNUMBER(G163)),G163&lt;=0),"Quantidade ausente ou inválida",""))))))))</x:f>
      </x:c>
      <x:c r="P163" s="163" t="n">
        <x:f>IF(O163="",0,1)</x:f>
        <x:v>0</x:v>
      </x:c>
      <x:c r="Q163" s="163" t="n">
        <x:f>IF(COUNTA(A163:D163,G163,K163:N163)=0,0,IF(OR(Listas!$B$19="Todos",E163=Listas!$B$19,E163="",COUNTIFS(Lotes!$A$5:$A$204,D163)&lt;&gt;1),1,0))</x:f>
        <x:v>0</x:v>
      </x:c>
      <x:c r="R163" s="1"/>
      <x:c r="S163" s="1"/>
      <x:c r="T163" s="1"/>
      <x:c r="U163" s="1"/>
      <x:c r="V163" s="1"/>
      <x:c r="W163" s="1"/>
    </x:row>
    <x:row r="164" ht="32" customHeight="1">
      <x:c r="A164" s="170"/>
      <x:c r="B164" s="179"/>
      <x:c r="C164" s="170"/>
      <x:c r="D164" s="170"/>
      <x:c r="E164" s="40" t="str">
        <x:f>IF($D164="","",IFERROR(INDEX(Lotes!$B$5:$B$204,MATCH($D164,Lotes!$A$5:$A$204,0)),""))</x:f>
      </x:c>
      <x:c r="F164" s="40" t="str">
        <x:f>IF($D164="","",IFERROR(INDEX(Lotes!$C$5:$C$204,MATCH($D164,Lotes!$A$5:$A$204,0)),""))</x:f>
      </x:c>
      <x:c r="G164" s="27"/>
      <x:c r="H164" s="40" t="str">
        <x:f>IF(A164="","",IF(O164&lt;&gt;"","n.a.",IF(OR(C164="Saída",C164="Perda",C164="Ajuste negativo"),-G164,G164)))</x:f>
      </x:c>
      <x:c r="I164" s="181" t="str">
        <x:f>IF($D164="","",IFERROR(INDEX(Lotes!$K$5:$K$204,MATCH($D164,Lotes!$A$5:$A$204,0)),0))</x:f>
      </x:c>
      <x:c r="J164" s="181" t="str">
        <x:f>IF(A164="","",IF(O164&lt;&gt;"","n.a.",ABS(H164)*I164))</x:f>
      </x:c>
      <x:c r="K164" s="27"/>
      <x:c r="L164" s="27"/>
      <x:c r="M164" s="27"/>
      <x:c r="N164" s="27"/>
      <x:c r="O164" s="163" t="str">
        <x:f>IF(COUNTA(A164:D164,G164,K164:N164)=0,"",IF(OR(A164="",COUNTIFS($A$5:$A$304,A164)&lt;&gt;1),"ID ausente ou duplicado",IF(OR(NOT(ISNUMBER(B164)),B164&lt;=0),"Data ausente ou inválida",IF(AND(C164&lt;&gt;"Entrada",C164&lt;&gt;"Saída",C164&lt;&gt;"Perda",C164&lt;&gt;"Ajuste positivo",C164&lt;&gt;"Ajuste negativo"),"Tipo de movimento inválido",IF(OR(D164="",COUNTIFS(Lotes!$A$5:$A$204,D164)&lt;&gt;1),"Lote ausente ou desconhecido",IF(COUNTIFS(Lotes!$A$5:$A$204,D164,Lotes!$S$5:$S$204,"?*")&gt;0,"Revisar cadastro do lote",IF(B164&lt;INDEX(Lotes!$E$5:$E$204,MATCH(D164,Lotes!$A$5:$A$204,0)),"Movimento anterior ao recebimento",IF(OR(NOT(ISNUMBER(G164)),G164&lt;=0),"Quantidade ausente ou inválida",""))))))))</x:f>
      </x:c>
      <x:c r="P164" s="163" t="n">
        <x:f>IF(O164="",0,1)</x:f>
        <x:v>0</x:v>
      </x:c>
      <x:c r="Q164" s="163" t="n">
        <x:f>IF(COUNTA(A164:D164,G164,K164:N164)=0,0,IF(OR(Listas!$B$19="Todos",E164=Listas!$B$19,E164="",COUNTIFS(Lotes!$A$5:$A$204,D164)&lt;&gt;1),1,0))</x:f>
        <x:v>0</x:v>
      </x:c>
      <x:c r="R164" s="1"/>
      <x:c r="S164" s="1"/>
      <x:c r="T164" s="1"/>
      <x:c r="U164" s="1"/>
      <x:c r="V164" s="1"/>
      <x:c r="W164" s="1"/>
    </x:row>
    <x:row r="165" ht="32" customHeight="1">
      <x:c r="A165" s="170"/>
      <x:c r="B165" s="179"/>
      <x:c r="C165" s="170"/>
      <x:c r="D165" s="170"/>
      <x:c r="E165" s="40" t="str">
        <x:f>IF($D165="","",IFERROR(INDEX(Lotes!$B$5:$B$204,MATCH($D165,Lotes!$A$5:$A$204,0)),""))</x:f>
      </x:c>
      <x:c r="F165" s="40" t="str">
        <x:f>IF($D165="","",IFERROR(INDEX(Lotes!$C$5:$C$204,MATCH($D165,Lotes!$A$5:$A$204,0)),""))</x:f>
      </x:c>
      <x:c r="G165" s="27"/>
      <x:c r="H165" s="40" t="str">
        <x:f>IF(A165="","",IF(O165&lt;&gt;"","n.a.",IF(OR(C165="Saída",C165="Perda",C165="Ajuste negativo"),-G165,G165)))</x:f>
      </x:c>
      <x:c r="I165" s="181" t="str">
        <x:f>IF($D165="","",IFERROR(INDEX(Lotes!$K$5:$K$204,MATCH($D165,Lotes!$A$5:$A$204,0)),0))</x:f>
      </x:c>
      <x:c r="J165" s="181" t="str">
        <x:f>IF(A165="","",IF(O165&lt;&gt;"","n.a.",ABS(H165)*I165))</x:f>
      </x:c>
      <x:c r="K165" s="27"/>
      <x:c r="L165" s="27"/>
      <x:c r="M165" s="27"/>
      <x:c r="N165" s="27"/>
      <x:c r="O165" s="163" t="str">
        <x:f>IF(COUNTA(A165:D165,G165,K165:N165)=0,"",IF(OR(A165="",COUNTIFS($A$5:$A$304,A165)&lt;&gt;1),"ID ausente ou duplicado",IF(OR(NOT(ISNUMBER(B165)),B165&lt;=0),"Data ausente ou inválida",IF(AND(C165&lt;&gt;"Entrada",C165&lt;&gt;"Saída",C165&lt;&gt;"Perda",C165&lt;&gt;"Ajuste positivo",C165&lt;&gt;"Ajuste negativo"),"Tipo de movimento inválido",IF(OR(D165="",COUNTIFS(Lotes!$A$5:$A$204,D165)&lt;&gt;1),"Lote ausente ou desconhecido",IF(COUNTIFS(Lotes!$A$5:$A$204,D165,Lotes!$S$5:$S$204,"?*")&gt;0,"Revisar cadastro do lote",IF(B165&lt;INDEX(Lotes!$E$5:$E$204,MATCH(D165,Lotes!$A$5:$A$204,0)),"Movimento anterior ao recebimento",IF(OR(NOT(ISNUMBER(G165)),G165&lt;=0),"Quantidade ausente ou inválida",""))))))))</x:f>
      </x:c>
      <x:c r="P165" s="163" t="n">
        <x:f>IF(O165="",0,1)</x:f>
        <x:v>0</x:v>
      </x:c>
      <x:c r="Q165" s="163" t="n">
        <x:f>IF(COUNTA(A165:D165,G165,K165:N165)=0,0,IF(OR(Listas!$B$19="Todos",E165=Listas!$B$19,E165="",COUNTIFS(Lotes!$A$5:$A$204,D165)&lt;&gt;1),1,0))</x:f>
        <x:v>0</x:v>
      </x:c>
      <x:c r="R165" s="1"/>
      <x:c r="S165" s="1"/>
      <x:c r="T165" s="1"/>
      <x:c r="U165" s="1"/>
      <x:c r="V165" s="1"/>
      <x:c r="W165" s="1"/>
    </x:row>
    <x:row r="166" ht="32" customHeight="1">
      <x:c r="A166" s="170"/>
      <x:c r="B166" s="179"/>
      <x:c r="C166" s="170"/>
      <x:c r="D166" s="170"/>
      <x:c r="E166" s="40" t="str">
        <x:f>IF($D166="","",IFERROR(INDEX(Lotes!$B$5:$B$204,MATCH($D166,Lotes!$A$5:$A$204,0)),""))</x:f>
      </x:c>
      <x:c r="F166" s="40" t="str">
        <x:f>IF($D166="","",IFERROR(INDEX(Lotes!$C$5:$C$204,MATCH($D166,Lotes!$A$5:$A$204,0)),""))</x:f>
      </x:c>
      <x:c r="G166" s="27"/>
      <x:c r="H166" s="40" t="str">
        <x:f>IF(A166="","",IF(O166&lt;&gt;"","n.a.",IF(OR(C166="Saída",C166="Perda",C166="Ajuste negativo"),-G166,G166)))</x:f>
      </x:c>
      <x:c r="I166" s="181" t="str">
        <x:f>IF($D166="","",IFERROR(INDEX(Lotes!$K$5:$K$204,MATCH($D166,Lotes!$A$5:$A$204,0)),0))</x:f>
      </x:c>
      <x:c r="J166" s="181" t="str">
        <x:f>IF(A166="","",IF(O166&lt;&gt;"","n.a.",ABS(H166)*I166))</x:f>
      </x:c>
      <x:c r="K166" s="27"/>
      <x:c r="L166" s="27"/>
      <x:c r="M166" s="27"/>
      <x:c r="N166" s="27"/>
      <x:c r="O166" s="163" t="str">
        <x:f>IF(COUNTA(A166:D166,G166,K166:N166)=0,"",IF(OR(A166="",COUNTIFS($A$5:$A$304,A166)&lt;&gt;1),"ID ausente ou duplicado",IF(OR(NOT(ISNUMBER(B166)),B166&lt;=0),"Data ausente ou inválida",IF(AND(C166&lt;&gt;"Entrada",C166&lt;&gt;"Saída",C166&lt;&gt;"Perda",C166&lt;&gt;"Ajuste positivo",C166&lt;&gt;"Ajuste negativo"),"Tipo de movimento inválido",IF(OR(D166="",COUNTIFS(Lotes!$A$5:$A$204,D166)&lt;&gt;1),"Lote ausente ou desconhecido",IF(COUNTIFS(Lotes!$A$5:$A$204,D166,Lotes!$S$5:$S$204,"?*")&gt;0,"Revisar cadastro do lote",IF(B166&lt;INDEX(Lotes!$E$5:$E$204,MATCH(D166,Lotes!$A$5:$A$204,0)),"Movimento anterior ao recebimento",IF(OR(NOT(ISNUMBER(G166)),G166&lt;=0),"Quantidade ausente ou inválida",""))))))))</x:f>
      </x:c>
      <x:c r="P166" s="163" t="n">
        <x:f>IF(O166="",0,1)</x:f>
        <x:v>0</x:v>
      </x:c>
      <x:c r="Q166" s="163" t="n">
        <x:f>IF(COUNTA(A166:D166,G166,K166:N166)=0,0,IF(OR(Listas!$B$19="Todos",E166=Listas!$B$19,E166="",COUNTIFS(Lotes!$A$5:$A$204,D166)&lt;&gt;1),1,0))</x:f>
        <x:v>0</x:v>
      </x:c>
      <x:c r="R166" s="1"/>
      <x:c r="S166" s="1"/>
      <x:c r="T166" s="1"/>
      <x:c r="U166" s="1"/>
      <x:c r="V166" s="1"/>
      <x:c r="W166" s="1"/>
    </x:row>
    <x:row r="167" ht="32" customHeight="1">
      <x:c r="A167" s="170"/>
      <x:c r="B167" s="179"/>
      <x:c r="C167" s="170"/>
      <x:c r="D167" s="170"/>
      <x:c r="E167" s="40" t="str">
        <x:f>IF($D167="","",IFERROR(INDEX(Lotes!$B$5:$B$204,MATCH($D167,Lotes!$A$5:$A$204,0)),""))</x:f>
      </x:c>
      <x:c r="F167" s="40" t="str">
        <x:f>IF($D167="","",IFERROR(INDEX(Lotes!$C$5:$C$204,MATCH($D167,Lotes!$A$5:$A$204,0)),""))</x:f>
      </x:c>
      <x:c r="G167" s="27"/>
      <x:c r="H167" s="40" t="str">
        <x:f>IF(A167="","",IF(O167&lt;&gt;"","n.a.",IF(OR(C167="Saída",C167="Perda",C167="Ajuste negativo"),-G167,G167)))</x:f>
      </x:c>
      <x:c r="I167" s="181" t="str">
        <x:f>IF($D167="","",IFERROR(INDEX(Lotes!$K$5:$K$204,MATCH($D167,Lotes!$A$5:$A$204,0)),0))</x:f>
      </x:c>
      <x:c r="J167" s="181" t="str">
        <x:f>IF(A167="","",IF(O167&lt;&gt;"","n.a.",ABS(H167)*I167))</x:f>
      </x:c>
      <x:c r="K167" s="27"/>
      <x:c r="L167" s="27"/>
      <x:c r="M167" s="27"/>
      <x:c r="N167" s="27"/>
      <x:c r="O167" s="163" t="str">
        <x:f>IF(COUNTA(A167:D167,G167,K167:N167)=0,"",IF(OR(A167="",COUNTIFS($A$5:$A$304,A167)&lt;&gt;1),"ID ausente ou duplicado",IF(OR(NOT(ISNUMBER(B167)),B167&lt;=0),"Data ausente ou inválida",IF(AND(C167&lt;&gt;"Entrada",C167&lt;&gt;"Saída",C167&lt;&gt;"Perda",C167&lt;&gt;"Ajuste positivo",C167&lt;&gt;"Ajuste negativo"),"Tipo de movimento inválido",IF(OR(D167="",COUNTIFS(Lotes!$A$5:$A$204,D167)&lt;&gt;1),"Lote ausente ou desconhecido",IF(COUNTIFS(Lotes!$A$5:$A$204,D167,Lotes!$S$5:$S$204,"?*")&gt;0,"Revisar cadastro do lote",IF(B167&lt;INDEX(Lotes!$E$5:$E$204,MATCH(D167,Lotes!$A$5:$A$204,0)),"Movimento anterior ao recebimento",IF(OR(NOT(ISNUMBER(G167)),G167&lt;=0),"Quantidade ausente ou inválida",""))))))))</x:f>
      </x:c>
      <x:c r="P167" s="163" t="n">
        <x:f>IF(O167="",0,1)</x:f>
        <x:v>0</x:v>
      </x:c>
      <x:c r="Q167" s="163" t="n">
        <x:f>IF(COUNTA(A167:D167,G167,K167:N167)=0,0,IF(OR(Listas!$B$19="Todos",E167=Listas!$B$19,E167="",COUNTIFS(Lotes!$A$5:$A$204,D167)&lt;&gt;1),1,0))</x:f>
        <x:v>0</x:v>
      </x:c>
      <x:c r="R167" s="1"/>
      <x:c r="S167" s="1"/>
      <x:c r="T167" s="1"/>
      <x:c r="U167" s="1"/>
      <x:c r="V167" s="1"/>
      <x:c r="W167" s="1"/>
    </x:row>
    <x:row r="168" ht="32" customHeight="1">
      <x:c r="A168" s="170"/>
      <x:c r="B168" s="179"/>
      <x:c r="C168" s="170"/>
      <x:c r="D168" s="170"/>
      <x:c r="E168" s="40" t="str">
        <x:f>IF($D168="","",IFERROR(INDEX(Lotes!$B$5:$B$204,MATCH($D168,Lotes!$A$5:$A$204,0)),""))</x:f>
      </x:c>
      <x:c r="F168" s="40" t="str">
        <x:f>IF($D168="","",IFERROR(INDEX(Lotes!$C$5:$C$204,MATCH($D168,Lotes!$A$5:$A$204,0)),""))</x:f>
      </x:c>
      <x:c r="G168" s="27"/>
      <x:c r="H168" s="40" t="str">
        <x:f>IF(A168="","",IF(O168&lt;&gt;"","n.a.",IF(OR(C168="Saída",C168="Perda",C168="Ajuste negativo"),-G168,G168)))</x:f>
      </x:c>
      <x:c r="I168" s="181" t="str">
        <x:f>IF($D168="","",IFERROR(INDEX(Lotes!$K$5:$K$204,MATCH($D168,Lotes!$A$5:$A$204,0)),0))</x:f>
      </x:c>
      <x:c r="J168" s="181" t="str">
        <x:f>IF(A168="","",IF(O168&lt;&gt;"","n.a.",ABS(H168)*I168))</x:f>
      </x:c>
      <x:c r="K168" s="27"/>
      <x:c r="L168" s="27"/>
      <x:c r="M168" s="27"/>
      <x:c r="N168" s="27"/>
      <x:c r="O168" s="163" t="str">
        <x:f>IF(COUNTA(A168:D168,G168,K168:N168)=0,"",IF(OR(A168="",COUNTIFS($A$5:$A$304,A168)&lt;&gt;1),"ID ausente ou duplicado",IF(OR(NOT(ISNUMBER(B168)),B168&lt;=0),"Data ausente ou inválida",IF(AND(C168&lt;&gt;"Entrada",C168&lt;&gt;"Saída",C168&lt;&gt;"Perda",C168&lt;&gt;"Ajuste positivo",C168&lt;&gt;"Ajuste negativo"),"Tipo de movimento inválido",IF(OR(D168="",COUNTIFS(Lotes!$A$5:$A$204,D168)&lt;&gt;1),"Lote ausente ou desconhecido",IF(COUNTIFS(Lotes!$A$5:$A$204,D168,Lotes!$S$5:$S$204,"?*")&gt;0,"Revisar cadastro do lote",IF(B168&lt;INDEX(Lotes!$E$5:$E$204,MATCH(D168,Lotes!$A$5:$A$204,0)),"Movimento anterior ao recebimento",IF(OR(NOT(ISNUMBER(G168)),G168&lt;=0),"Quantidade ausente ou inválida",""))))))))</x:f>
      </x:c>
      <x:c r="P168" s="163" t="n">
        <x:f>IF(O168="",0,1)</x:f>
        <x:v>0</x:v>
      </x:c>
      <x:c r="Q168" s="163" t="n">
        <x:f>IF(COUNTA(A168:D168,G168,K168:N168)=0,0,IF(OR(Listas!$B$19="Todos",E168=Listas!$B$19,E168="",COUNTIFS(Lotes!$A$5:$A$204,D168)&lt;&gt;1),1,0))</x:f>
        <x:v>0</x:v>
      </x:c>
      <x:c r="R168" s="1"/>
      <x:c r="S168" s="1"/>
      <x:c r="T168" s="1"/>
      <x:c r="U168" s="1"/>
      <x:c r="V168" s="1"/>
      <x:c r="W168" s="1"/>
    </x:row>
    <x:row r="169" ht="32" customHeight="1">
      <x:c r="A169" s="170"/>
      <x:c r="B169" s="179"/>
      <x:c r="C169" s="170"/>
      <x:c r="D169" s="170"/>
      <x:c r="E169" s="40" t="str">
        <x:f>IF($D169="","",IFERROR(INDEX(Lotes!$B$5:$B$204,MATCH($D169,Lotes!$A$5:$A$204,0)),""))</x:f>
      </x:c>
      <x:c r="F169" s="40" t="str">
        <x:f>IF($D169="","",IFERROR(INDEX(Lotes!$C$5:$C$204,MATCH($D169,Lotes!$A$5:$A$204,0)),""))</x:f>
      </x:c>
      <x:c r="G169" s="27"/>
      <x:c r="H169" s="40" t="str">
        <x:f>IF(A169="","",IF(O169&lt;&gt;"","n.a.",IF(OR(C169="Saída",C169="Perda",C169="Ajuste negativo"),-G169,G169)))</x:f>
      </x:c>
      <x:c r="I169" s="181" t="str">
        <x:f>IF($D169="","",IFERROR(INDEX(Lotes!$K$5:$K$204,MATCH($D169,Lotes!$A$5:$A$204,0)),0))</x:f>
      </x:c>
      <x:c r="J169" s="181" t="str">
        <x:f>IF(A169="","",IF(O169&lt;&gt;"","n.a.",ABS(H169)*I169))</x:f>
      </x:c>
      <x:c r="K169" s="27"/>
      <x:c r="L169" s="27"/>
      <x:c r="M169" s="27"/>
      <x:c r="N169" s="27"/>
      <x:c r="O169" s="163" t="str">
        <x:f>IF(COUNTA(A169:D169,G169,K169:N169)=0,"",IF(OR(A169="",COUNTIFS($A$5:$A$304,A169)&lt;&gt;1),"ID ausente ou duplicado",IF(OR(NOT(ISNUMBER(B169)),B169&lt;=0),"Data ausente ou inválida",IF(AND(C169&lt;&gt;"Entrada",C169&lt;&gt;"Saída",C169&lt;&gt;"Perda",C169&lt;&gt;"Ajuste positivo",C169&lt;&gt;"Ajuste negativo"),"Tipo de movimento inválido",IF(OR(D169="",COUNTIFS(Lotes!$A$5:$A$204,D169)&lt;&gt;1),"Lote ausente ou desconhecido",IF(COUNTIFS(Lotes!$A$5:$A$204,D169,Lotes!$S$5:$S$204,"?*")&gt;0,"Revisar cadastro do lote",IF(B169&lt;INDEX(Lotes!$E$5:$E$204,MATCH(D169,Lotes!$A$5:$A$204,0)),"Movimento anterior ao recebimento",IF(OR(NOT(ISNUMBER(G169)),G169&lt;=0),"Quantidade ausente ou inválida",""))))))))</x:f>
      </x:c>
      <x:c r="P169" s="163" t="n">
        <x:f>IF(O169="",0,1)</x:f>
        <x:v>0</x:v>
      </x:c>
      <x:c r="Q169" s="163" t="n">
        <x:f>IF(COUNTA(A169:D169,G169,K169:N169)=0,0,IF(OR(Listas!$B$19="Todos",E169=Listas!$B$19,E169="",COUNTIFS(Lotes!$A$5:$A$204,D169)&lt;&gt;1),1,0))</x:f>
        <x:v>0</x:v>
      </x:c>
      <x:c r="R169" s="1"/>
      <x:c r="S169" s="1"/>
      <x:c r="T169" s="1"/>
      <x:c r="U169" s="1"/>
      <x:c r="V169" s="1"/>
      <x:c r="W169" s="1"/>
    </x:row>
    <x:row r="170" ht="32" customHeight="1">
      <x:c r="A170" s="170"/>
      <x:c r="B170" s="179"/>
      <x:c r="C170" s="170"/>
      <x:c r="D170" s="170"/>
      <x:c r="E170" s="40" t="str">
        <x:f>IF($D170="","",IFERROR(INDEX(Lotes!$B$5:$B$204,MATCH($D170,Lotes!$A$5:$A$204,0)),""))</x:f>
      </x:c>
      <x:c r="F170" s="40" t="str">
        <x:f>IF($D170="","",IFERROR(INDEX(Lotes!$C$5:$C$204,MATCH($D170,Lotes!$A$5:$A$204,0)),""))</x:f>
      </x:c>
      <x:c r="G170" s="27"/>
      <x:c r="H170" s="40" t="str">
        <x:f>IF(A170="","",IF(O170&lt;&gt;"","n.a.",IF(OR(C170="Saída",C170="Perda",C170="Ajuste negativo"),-G170,G170)))</x:f>
      </x:c>
      <x:c r="I170" s="181" t="str">
        <x:f>IF($D170="","",IFERROR(INDEX(Lotes!$K$5:$K$204,MATCH($D170,Lotes!$A$5:$A$204,0)),0))</x:f>
      </x:c>
      <x:c r="J170" s="181" t="str">
        <x:f>IF(A170="","",IF(O170&lt;&gt;"","n.a.",ABS(H170)*I170))</x:f>
      </x:c>
      <x:c r="K170" s="27"/>
      <x:c r="L170" s="27"/>
      <x:c r="M170" s="27"/>
      <x:c r="N170" s="27"/>
      <x:c r="O170" s="163" t="str">
        <x:f>IF(COUNTA(A170:D170,G170,K170:N170)=0,"",IF(OR(A170="",COUNTIFS($A$5:$A$304,A170)&lt;&gt;1),"ID ausente ou duplicado",IF(OR(NOT(ISNUMBER(B170)),B170&lt;=0),"Data ausente ou inválida",IF(AND(C170&lt;&gt;"Entrada",C170&lt;&gt;"Saída",C170&lt;&gt;"Perda",C170&lt;&gt;"Ajuste positivo",C170&lt;&gt;"Ajuste negativo"),"Tipo de movimento inválido",IF(OR(D170="",COUNTIFS(Lotes!$A$5:$A$204,D170)&lt;&gt;1),"Lote ausente ou desconhecido",IF(COUNTIFS(Lotes!$A$5:$A$204,D170,Lotes!$S$5:$S$204,"?*")&gt;0,"Revisar cadastro do lote",IF(B170&lt;INDEX(Lotes!$E$5:$E$204,MATCH(D170,Lotes!$A$5:$A$204,0)),"Movimento anterior ao recebimento",IF(OR(NOT(ISNUMBER(G170)),G170&lt;=0),"Quantidade ausente ou inválida",""))))))))</x:f>
      </x:c>
      <x:c r="P170" s="163" t="n">
        <x:f>IF(O170="",0,1)</x:f>
        <x:v>0</x:v>
      </x:c>
      <x:c r="Q170" s="163" t="n">
        <x:f>IF(COUNTA(A170:D170,G170,K170:N170)=0,0,IF(OR(Listas!$B$19="Todos",E170=Listas!$B$19,E170="",COUNTIFS(Lotes!$A$5:$A$204,D170)&lt;&gt;1),1,0))</x:f>
        <x:v>0</x:v>
      </x:c>
      <x:c r="R170" s="1"/>
      <x:c r="S170" s="1"/>
      <x:c r="T170" s="1"/>
      <x:c r="U170" s="1"/>
      <x:c r="V170" s="1"/>
      <x:c r="W170" s="1"/>
    </x:row>
    <x:row r="171" ht="32" customHeight="1">
      <x:c r="A171" s="170"/>
      <x:c r="B171" s="179"/>
      <x:c r="C171" s="170"/>
      <x:c r="D171" s="170"/>
      <x:c r="E171" s="40" t="str">
        <x:f>IF($D171="","",IFERROR(INDEX(Lotes!$B$5:$B$204,MATCH($D171,Lotes!$A$5:$A$204,0)),""))</x:f>
      </x:c>
      <x:c r="F171" s="40" t="str">
        <x:f>IF($D171="","",IFERROR(INDEX(Lotes!$C$5:$C$204,MATCH($D171,Lotes!$A$5:$A$204,0)),""))</x:f>
      </x:c>
      <x:c r="G171" s="27"/>
      <x:c r="H171" s="40" t="str">
        <x:f>IF(A171="","",IF(O171&lt;&gt;"","n.a.",IF(OR(C171="Saída",C171="Perda",C171="Ajuste negativo"),-G171,G171)))</x:f>
      </x:c>
      <x:c r="I171" s="181" t="str">
        <x:f>IF($D171="","",IFERROR(INDEX(Lotes!$K$5:$K$204,MATCH($D171,Lotes!$A$5:$A$204,0)),0))</x:f>
      </x:c>
      <x:c r="J171" s="181" t="str">
        <x:f>IF(A171="","",IF(O171&lt;&gt;"","n.a.",ABS(H171)*I171))</x:f>
      </x:c>
      <x:c r="K171" s="27"/>
      <x:c r="L171" s="27"/>
      <x:c r="M171" s="27"/>
      <x:c r="N171" s="27"/>
      <x:c r="O171" s="163" t="str">
        <x:f>IF(COUNTA(A171:D171,G171,K171:N171)=0,"",IF(OR(A171="",COUNTIFS($A$5:$A$304,A171)&lt;&gt;1),"ID ausente ou duplicado",IF(OR(NOT(ISNUMBER(B171)),B171&lt;=0),"Data ausente ou inválida",IF(AND(C171&lt;&gt;"Entrada",C171&lt;&gt;"Saída",C171&lt;&gt;"Perda",C171&lt;&gt;"Ajuste positivo",C171&lt;&gt;"Ajuste negativo"),"Tipo de movimento inválido",IF(OR(D171="",COUNTIFS(Lotes!$A$5:$A$204,D171)&lt;&gt;1),"Lote ausente ou desconhecido",IF(COUNTIFS(Lotes!$A$5:$A$204,D171,Lotes!$S$5:$S$204,"?*")&gt;0,"Revisar cadastro do lote",IF(B171&lt;INDEX(Lotes!$E$5:$E$204,MATCH(D171,Lotes!$A$5:$A$204,0)),"Movimento anterior ao recebimento",IF(OR(NOT(ISNUMBER(G171)),G171&lt;=0),"Quantidade ausente ou inválida",""))))))))</x:f>
      </x:c>
      <x:c r="P171" s="163" t="n">
        <x:f>IF(O171="",0,1)</x:f>
        <x:v>0</x:v>
      </x:c>
      <x:c r="Q171" s="163" t="n">
        <x:f>IF(COUNTA(A171:D171,G171,K171:N171)=0,0,IF(OR(Listas!$B$19="Todos",E171=Listas!$B$19,E171="",COUNTIFS(Lotes!$A$5:$A$204,D171)&lt;&gt;1),1,0))</x:f>
        <x:v>0</x:v>
      </x:c>
      <x:c r="R171" s="1"/>
      <x:c r="S171" s="1"/>
      <x:c r="T171" s="1"/>
      <x:c r="U171" s="1"/>
      <x:c r="V171" s="1"/>
      <x:c r="W171" s="1"/>
    </x:row>
    <x:row r="172" ht="32" customHeight="1">
      <x:c r="A172" s="170"/>
      <x:c r="B172" s="179"/>
      <x:c r="C172" s="170"/>
      <x:c r="D172" s="170"/>
      <x:c r="E172" s="40" t="str">
        <x:f>IF($D172="","",IFERROR(INDEX(Lotes!$B$5:$B$204,MATCH($D172,Lotes!$A$5:$A$204,0)),""))</x:f>
      </x:c>
      <x:c r="F172" s="40" t="str">
        <x:f>IF($D172="","",IFERROR(INDEX(Lotes!$C$5:$C$204,MATCH($D172,Lotes!$A$5:$A$204,0)),""))</x:f>
      </x:c>
      <x:c r="G172" s="27"/>
      <x:c r="H172" s="40" t="str">
        <x:f>IF(A172="","",IF(O172&lt;&gt;"","n.a.",IF(OR(C172="Saída",C172="Perda",C172="Ajuste negativo"),-G172,G172)))</x:f>
      </x:c>
      <x:c r="I172" s="181" t="str">
        <x:f>IF($D172="","",IFERROR(INDEX(Lotes!$K$5:$K$204,MATCH($D172,Lotes!$A$5:$A$204,0)),0))</x:f>
      </x:c>
      <x:c r="J172" s="181" t="str">
        <x:f>IF(A172="","",IF(O172&lt;&gt;"","n.a.",ABS(H172)*I172))</x:f>
      </x:c>
      <x:c r="K172" s="27"/>
      <x:c r="L172" s="27"/>
      <x:c r="M172" s="27"/>
      <x:c r="N172" s="27"/>
      <x:c r="O172" s="163" t="str">
        <x:f>IF(COUNTA(A172:D172,G172,K172:N172)=0,"",IF(OR(A172="",COUNTIFS($A$5:$A$304,A172)&lt;&gt;1),"ID ausente ou duplicado",IF(OR(NOT(ISNUMBER(B172)),B172&lt;=0),"Data ausente ou inválida",IF(AND(C172&lt;&gt;"Entrada",C172&lt;&gt;"Saída",C172&lt;&gt;"Perda",C172&lt;&gt;"Ajuste positivo",C172&lt;&gt;"Ajuste negativo"),"Tipo de movimento inválido",IF(OR(D172="",COUNTIFS(Lotes!$A$5:$A$204,D172)&lt;&gt;1),"Lote ausente ou desconhecido",IF(COUNTIFS(Lotes!$A$5:$A$204,D172,Lotes!$S$5:$S$204,"?*")&gt;0,"Revisar cadastro do lote",IF(B172&lt;INDEX(Lotes!$E$5:$E$204,MATCH(D172,Lotes!$A$5:$A$204,0)),"Movimento anterior ao recebimento",IF(OR(NOT(ISNUMBER(G172)),G172&lt;=0),"Quantidade ausente ou inválida",""))))))))</x:f>
      </x:c>
      <x:c r="P172" s="163" t="n">
        <x:f>IF(O172="",0,1)</x:f>
        <x:v>0</x:v>
      </x:c>
      <x:c r="Q172" s="163" t="n">
        <x:f>IF(COUNTA(A172:D172,G172,K172:N172)=0,0,IF(OR(Listas!$B$19="Todos",E172=Listas!$B$19,E172="",COUNTIFS(Lotes!$A$5:$A$204,D172)&lt;&gt;1),1,0))</x:f>
        <x:v>0</x:v>
      </x:c>
      <x:c r="R172" s="1"/>
      <x:c r="S172" s="1"/>
      <x:c r="T172" s="1"/>
      <x:c r="U172" s="1"/>
      <x:c r="V172" s="1"/>
      <x:c r="W172" s="1"/>
    </x:row>
    <x:row r="173" ht="32" customHeight="1">
      <x:c r="A173" s="170"/>
      <x:c r="B173" s="179"/>
      <x:c r="C173" s="170"/>
      <x:c r="D173" s="170"/>
      <x:c r="E173" s="40" t="str">
        <x:f>IF($D173="","",IFERROR(INDEX(Lotes!$B$5:$B$204,MATCH($D173,Lotes!$A$5:$A$204,0)),""))</x:f>
      </x:c>
      <x:c r="F173" s="40" t="str">
        <x:f>IF($D173="","",IFERROR(INDEX(Lotes!$C$5:$C$204,MATCH($D173,Lotes!$A$5:$A$204,0)),""))</x:f>
      </x:c>
      <x:c r="G173" s="27"/>
      <x:c r="H173" s="40" t="str">
        <x:f>IF(A173="","",IF(O173&lt;&gt;"","n.a.",IF(OR(C173="Saída",C173="Perda",C173="Ajuste negativo"),-G173,G173)))</x:f>
      </x:c>
      <x:c r="I173" s="181" t="str">
        <x:f>IF($D173="","",IFERROR(INDEX(Lotes!$K$5:$K$204,MATCH($D173,Lotes!$A$5:$A$204,0)),0))</x:f>
      </x:c>
      <x:c r="J173" s="181" t="str">
        <x:f>IF(A173="","",IF(O173&lt;&gt;"","n.a.",ABS(H173)*I173))</x:f>
      </x:c>
      <x:c r="K173" s="27"/>
      <x:c r="L173" s="27"/>
      <x:c r="M173" s="27"/>
      <x:c r="N173" s="27"/>
      <x:c r="O173" s="163" t="str">
        <x:f>IF(COUNTA(A173:D173,G173,K173:N173)=0,"",IF(OR(A173="",COUNTIFS($A$5:$A$304,A173)&lt;&gt;1),"ID ausente ou duplicado",IF(OR(NOT(ISNUMBER(B173)),B173&lt;=0),"Data ausente ou inválida",IF(AND(C173&lt;&gt;"Entrada",C173&lt;&gt;"Saída",C173&lt;&gt;"Perda",C173&lt;&gt;"Ajuste positivo",C173&lt;&gt;"Ajuste negativo"),"Tipo de movimento inválido",IF(OR(D173="",COUNTIFS(Lotes!$A$5:$A$204,D173)&lt;&gt;1),"Lote ausente ou desconhecido",IF(COUNTIFS(Lotes!$A$5:$A$204,D173,Lotes!$S$5:$S$204,"?*")&gt;0,"Revisar cadastro do lote",IF(B173&lt;INDEX(Lotes!$E$5:$E$204,MATCH(D173,Lotes!$A$5:$A$204,0)),"Movimento anterior ao recebimento",IF(OR(NOT(ISNUMBER(G173)),G173&lt;=0),"Quantidade ausente ou inválida",""))))))))</x:f>
      </x:c>
      <x:c r="P173" s="163" t="n">
        <x:f>IF(O173="",0,1)</x:f>
        <x:v>0</x:v>
      </x:c>
      <x:c r="Q173" s="163" t="n">
        <x:f>IF(COUNTA(A173:D173,G173,K173:N173)=0,0,IF(OR(Listas!$B$19="Todos",E173=Listas!$B$19,E173="",COUNTIFS(Lotes!$A$5:$A$204,D173)&lt;&gt;1),1,0))</x:f>
        <x:v>0</x:v>
      </x:c>
      <x:c r="R173" s="1"/>
      <x:c r="S173" s="1"/>
      <x:c r="T173" s="1"/>
      <x:c r="U173" s="1"/>
      <x:c r="V173" s="1"/>
      <x:c r="W173" s="1"/>
    </x:row>
    <x:row r="174" ht="32" customHeight="1">
      <x:c r="A174" s="170"/>
      <x:c r="B174" s="179"/>
      <x:c r="C174" s="170"/>
      <x:c r="D174" s="170"/>
      <x:c r="E174" s="40" t="str">
        <x:f>IF($D174="","",IFERROR(INDEX(Lotes!$B$5:$B$204,MATCH($D174,Lotes!$A$5:$A$204,0)),""))</x:f>
      </x:c>
      <x:c r="F174" s="40" t="str">
        <x:f>IF($D174="","",IFERROR(INDEX(Lotes!$C$5:$C$204,MATCH($D174,Lotes!$A$5:$A$204,0)),""))</x:f>
      </x:c>
      <x:c r="G174" s="27"/>
      <x:c r="H174" s="40" t="str">
        <x:f>IF(A174="","",IF(O174&lt;&gt;"","n.a.",IF(OR(C174="Saída",C174="Perda",C174="Ajuste negativo"),-G174,G174)))</x:f>
      </x:c>
      <x:c r="I174" s="181" t="str">
        <x:f>IF($D174="","",IFERROR(INDEX(Lotes!$K$5:$K$204,MATCH($D174,Lotes!$A$5:$A$204,0)),0))</x:f>
      </x:c>
      <x:c r="J174" s="181" t="str">
        <x:f>IF(A174="","",IF(O174&lt;&gt;"","n.a.",ABS(H174)*I174))</x:f>
      </x:c>
      <x:c r="K174" s="27"/>
      <x:c r="L174" s="27"/>
      <x:c r="M174" s="27"/>
      <x:c r="N174" s="27"/>
      <x:c r="O174" s="163" t="str">
        <x:f>IF(COUNTA(A174:D174,G174,K174:N174)=0,"",IF(OR(A174="",COUNTIFS($A$5:$A$304,A174)&lt;&gt;1),"ID ausente ou duplicado",IF(OR(NOT(ISNUMBER(B174)),B174&lt;=0),"Data ausente ou inválida",IF(AND(C174&lt;&gt;"Entrada",C174&lt;&gt;"Saída",C174&lt;&gt;"Perda",C174&lt;&gt;"Ajuste positivo",C174&lt;&gt;"Ajuste negativo"),"Tipo de movimento inválido",IF(OR(D174="",COUNTIFS(Lotes!$A$5:$A$204,D174)&lt;&gt;1),"Lote ausente ou desconhecido",IF(COUNTIFS(Lotes!$A$5:$A$204,D174,Lotes!$S$5:$S$204,"?*")&gt;0,"Revisar cadastro do lote",IF(B174&lt;INDEX(Lotes!$E$5:$E$204,MATCH(D174,Lotes!$A$5:$A$204,0)),"Movimento anterior ao recebimento",IF(OR(NOT(ISNUMBER(G174)),G174&lt;=0),"Quantidade ausente ou inválida",""))))))))</x:f>
      </x:c>
      <x:c r="P174" s="163" t="n">
        <x:f>IF(O174="",0,1)</x:f>
        <x:v>0</x:v>
      </x:c>
      <x:c r="Q174" s="163" t="n">
        <x:f>IF(COUNTA(A174:D174,G174,K174:N174)=0,0,IF(OR(Listas!$B$19="Todos",E174=Listas!$B$19,E174="",COUNTIFS(Lotes!$A$5:$A$204,D174)&lt;&gt;1),1,0))</x:f>
        <x:v>0</x:v>
      </x:c>
      <x:c r="R174" s="1"/>
      <x:c r="S174" s="1"/>
      <x:c r="T174" s="1"/>
      <x:c r="U174" s="1"/>
      <x:c r="V174" s="1"/>
      <x:c r="W174" s="1"/>
    </x:row>
    <x:row r="175" ht="32" customHeight="1">
      <x:c r="A175" s="170"/>
      <x:c r="B175" s="179"/>
      <x:c r="C175" s="170"/>
      <x:c r="D175" s="170"/>
      <x:c r="E175" s="40" t="str">
        <x:f>IF($D175="","",IFERROR(INDEX(Lotes!$B$5:$B$204,MATCH($D175,Lotes!$A$5:$A$204,0)),""))</x:f>
      </x:c>
      <x:c r="F175" s="40" t="str">
        <x:f>IF($D175="","",IFERROR(INDEX(Lotes!$C$5:$C$204,MATCH($D175,Lotes!$A$5:$A$204,0)),""))</x:f>
      </x:c>
      <x:c r="G175" s="27"/>
      <x:c r="H175" s="40" t="str">
        <x:f>IF(A175="","",IF(O175&lt;&gt;"","n.a.",IF(OR(C175="Saída",C175="Perda",C175="Ajuste negativo"),-G175,G175)))</x:f>
      </x:c>
      <x:c r="I175" s="181" t="str">
        <x:f>IF($D175="","",IFERROR(INDEX(Lotes!$K$5:$K$204,MATCH($D175,Lotes!$A$5:$A$204,0)),0))</x:f>
      </x:c>
      <x:c r="J175" s="181" t="str">
        <x:f>IF(A175="","",IF(O175&lt;&gt;"","n.a.",ABS(H175)*I175))</x:f>
      </x:c>
      <x:c r="K175" s="27"/>
      <x:c r="L175" s="27"/>
      <x:c r="M175" s="27"/>
      <x:c r="N175" s="27"/>
      <x:c r="O175" s="163" t="str">
        <x:f>IF(COUNTA(A175:D175,G175,K175:N175)=0,"",IF(OR(A175="",COUNTIFS($A$5:$A$304,A175)&lt;&gt;1),"ID ausente ou duplicado",IF(OR(NOT(ISNUMBER(B175)),B175&lt;=0),"Data ausente ou inválida",IF(AND(C175&lt;&gt;"Entrada",C175&lt;&gt;"Saída",C175&lt;&gt;"Perda",C175&lt;&gt;"Ajuste positivo",C175&lt;&gt;"Ajuste negativo"),"Tipo de movimento inválido",IF(OR(D175="",COUNTIFS(Lotes!$A$5:$A$204,D175)&lt;&gt;1),"Lote ausente ou desconhecido",IF(COUNTIFS(Lotes!$A$5:$A$204,D175,Lotes!$S$5:$S$204,"?*")&gt;0,"Revisar cadastro do lote",IF(B175&lt;INDEX(Lotes!$E$5:$E$204,MATCH(D175,Lotes!$A$5:$A$204,0)),"Movimento anterior ao recebimento",IF(OR(NOT(ISNUMBER(G175)),G175&lt;=0),"Quantidade ausente ou inválida",""))))))))</x:f>
      </x:c>
      <x:c r="P175" s="163" t="n">
        <x:f>IF(O175="",0,1)</x:f>
        <x:v>0</x:v>
      </x:c>
      <x:c r="Q175" s="163" t="n">
        <x:f>IF(COUNTA(A175:D175,G175,K175:N175)=0,0,IF(OR(Listas!$B$19="Todos",E175=Listas!$B$19,E175="",COUNTIFS(Lotes!$A$5:$A$204,D175)&lt;&gt;1),1,0))</x:f>
        <x:v>0</x:v>
      </x:c>
      <x:c r="R175" s="1"/>
      <x:c r="S175" s="1"/>
      <x:c r="T175" s="1"/>
      <x:c r="U175" s="1"/>
      <x:c r="V175" s="1"/>
      <x:c r="W175" s="1"/>
    </x:row>
    <x:row r="176" ht="32" customHeight="1">
      <x:c r="A176" s="170"/>
      <x:c r="B176" s="179"/>
      <x:c r="C176" s="170"/>
      <x:c r="D176" s="170"/>
      <x:c r="E176" s="40" t="str">
        <x:f>IF($D176="","",IFERROR(INDEX(Lotes!$B$5:$B$204,MATCH($D176,Lotes!$A$5:$A$204,0)),""))</x:f>
      </x:c>
      <x:c r="F176" s="40" t="str">
        <x:f>IF($D176="","",IFERROR(INDEX(Lotes!$C$5:$C$204,MATCH($D176,Lotes!$A$5:$A$204,0)),""))</x:f>
      </x:c>
      <x:c r="G176" s="27"/>
      <x:c r="H176" s="40" t="str">
        <x:f>IF(A176="","",IF(O176&lt;&gt;"","n.a.",IF(OR(C176="Saída",C176="Perda",C176="Ajuste negativo"),-G176,G176)))</x:f>
      </x:c>
      <x:c r="I176" s="181" t="str">
        <x:f>IF($D176="","",IFERROR(INDEX(Lotes!$K$5:$K$204,MATCH($D176,Lotes!$A$5:$A$204,0)),0))</x:f>
      </x:c>
      <x:c r="J176" s="181" t="str">
        <x:f>IF(A176="","",IF(O176&lt;&gt;"","n.a.",ABS(H176)*I176))</x:f>
      </x:c>
      <x:c r="K176" s="27"/>
      <x:c r="L176" s="27"/>
      <x:c r="M176" s="27"/>
      <x:c r="N176" s="27"/>
      <x:c r="O176" s="163" t="str">
        <x:f>IF(COUNTA(A176:D176,G176,K176:N176)=0,"",IF(OR(A176="",COUNTIFS($A$5:$A$304,A176)&lt;&gt;1),"ID ausente ou duplicado",IF(OR(NOT(ISNUMBER(B176)),B176&lt;=0),"Data ausente ou inválida",IF(AND(C176&lt;&gt;"Entrada",C176&lt;&gt;"Saída",C176&lt;&gt;"Perda",C176&lt;&gt;"Ajuste positivo",C176&lt;&gt;"Ajuste negativo"),"Tipo de movimento inválido",IF(OR(D176="",COUNTIFS(Lotes!$A$5:$A$204,D176)&lt;&gt;1),"Lote ausente ou desconhecido",IF(COUNTIFS(Lotes!$A$5:$A$204,D176,Lotes!$S$5:$S$204,"?*")&gt;0,"Revisar cadastro do lote",IF(B176&lt;INDEX(Lotes!$E$5:$E$204,MATCH(D176,Lotes!$A$5:$A$204,0)),"Movimento anterior ao recebimento",IF(OR(NOT(ISNUMBER(G176)),G176&lt;=0),"Quantidade ausente ou inválida",""))))))))</x:f>
      </x:c>
      <x:c r="P176" s="163" t="n">
        <x:f>IF(O176="",0,1)</x:f>
        <x:v>0</x:v>
      </x:c>
      <x:c r="Q176" s="163" t="n">
        <x:f>IF(COUNTA(A176:D176,G176,K176:N176)=0,0,IF(OR(Listas!$B$19="Todos",E176=Listas!$B$19,E176="",COUNTIFS(Lotes!$A$5:$A$204,D176)&lt;&gt;1),1,0))</x:f>
        <x:v>0</x:v>
      </x:c>
      <x:c r="R176" s="1"/>
      <x:c r="S176" s="1"/>
      <x:c r="T176" s="1"/>
      <x:c r="U176" s="1"/>
      <x:c r="V176" s="1"/>
      <x:c r="W176" s="1"/>
    </x:row>
    <x:row r="177" ht="32" customHeight="1">
      <x:c r="A177" s="170"/>
      <x:c r="B177" s="179"/>
      <x:c r="C177" s="170"/>
      <x:c r="D177" s="170"/>
      <x:c r="E177" s="40" t="str">
        <x:f>IF($D177="","",IFERROR(INDEX(Lotes!$B$5:$B$204,MATCH($D177,Lotes!$A$5:$A$204,0)),""))</x:f>
      </x:c>
      <x:c r="F177" s="40" t="str">
        <x:f>IF($D177="","",IFERROR(INDEX(Lotes!$C$5:$C$204,MATCH($D177,Lotes!$A$5:$A$204,0)),""))</x:f>
      </x:c>
      <x:c r="G177" s="27"/>
      <x:c r="H177" s="40" t="str">
        <x:f>IF(A177="","",IF(O177&lt;&gt;"","n.a.",IF(OR(C177="Saída",C177="Perda",C177="Ajuste negativo"),-G177,G177)))</x:f>
      </x:c>
      <x:c r="I177" s="181" t="str">
        <x:f>IF($D177="","",IFERROR(INDEX(Lotes!$K$5:$K$204,MATCH($D177,Lotes!$A$5:$A$204,0)),0))</x:f>
      </x:c>
      <x:c r="J177" s="181" t="str">
        <x:f>IF(A177="","",IF(O177&lt;&gt;"","n.a.",ABS(H177)*I177))</x:f>
      </x:c>
      <x:c r="K177" s="27"/>
      <x:c r="L177" s="27"/>
      <x:c r="M177" s="27"/>
      <x:c r="N177" s="27"/>
      <x:c r="O177" s="163" t="str">
        <x:f>IF(COUNTA(A177:D177,G177,K177:N177)=0,"",IF(OR(A177="",COUNTIFS($A$5:$A$304,A177)&lt;&gt;1),"ID ausente ou duplicado",IF(OR(NOT(ISNUMBER(B177)),B177&lt;=0),"Data ausente ou inválida",IF(AND(C177&lt;&gt;"Entrada",C177&lt;&gt;"Saída",C177&lt;&gt;"Perda",C177&lt;&gt;"Ajuste positivo",C177&lt;&gt;"Ajuste negativo"),"Tipo de movimento inválido",IF(OR(D177="",COUNTIFS(Lotes!$A$5:$A$204,D177)&lt;&gt;1),"Lote ausente ou desconhecido",IF(COUNTIFS(Lotes!$A$5:$A$204,D177,Lotes!$S$5:$S$204,"?*")&gt;0,"Revisar cadastro do lote",IF(B177&lt;INDEX(Lotes!$E$5:$E$204,MATCH(D177,Lotes!$A$5:$A$204,0)),"Movimento anterior ao recebimento",IF(OR(NOT(ISNUMBER(G177)),G177&lt;=0),"Quantidade ausente ou inválida",""))))))))</x:f>
      </x:c>
      <x:c r="P177" s="163" t="n">
        <x:f>IF(O177="",0,1)</x:f>
        <x:v>0</x:v>
      </x:c>
      <x:c r="Q177" s="163" t="n">
        <x:f>IF(COUNTA(A177:D177,G177,K177:N177)=0,0,IF(OR(Listas!$B$19="Todos",E177=Listas!$B$19,E177="",COUNTIFS(Lotes!$A$5:$A$204,D177)&lt;&gt;1),1,0))</x:f>
        <x:v>0</x:v>
      </x:c>
      <x:c r="R177" s="1"/>
      <x:c r="S177" s="1"/>
      <x:c r="T177" s="1"/>
      <x:c r="U177" s="1"/>
      <x:c r="V177" s="1"/>
      <x:c r="W177" s="1"/>
    </x:row>
    <x:row r="178" ht="32" customHeight="1">
      <x:c r="A178" s="170"/>
      <x:c r="B178" s="179"/>
      <x:c r="C178" s="170"/>
      <x:c r="D178" s="170"/>
      <x:c r="E178" s="40" t="str">
        <x:f>IF($D178="","",IFERROR(INDEX(Lotes!$B$5:$B$204,MATCH($D178,Lotes!$A$5:$A$204,0)),""))</x:f>
      </x:c>
      <x:c r="F178" s="40" t="str">
        <x:f>IF($D178="","",IFERROR(INDEX(Lotes!$C$5:$C$204,MATCH($D178,Lotes!$A$5:$A$204,0)),""))</x:f>
      </x:c>
      <x:c r="G178" s="27"/>
      <x:c r="H178" s="40" t="str">
        <x:f>IF(A178="","",IF(O178&lt;&gt;"","n.a.",IF(OR(C178="Saída",C178="Perda",C178="Ajuste negativo"),-G178,G178)))</x:f>
      </x:c>
      <x:c r="I178" s="181" t="str">
        <x:f>IF($D178="","",IFERROR(INDEX(Lotes!$K$5:$K$204,MATCH($D178,Lotes!$A$5:$A$204,0)),0))</x:f>
      </x:c>
      <x:c r="J178" s="181" t="str">
        <x:f>IF(A178="","",IF(O178&lt;&gt;"","n.a.",ABS(H178)*I178))</x:f>
      </x:c>
      <x:c r="K178" s="27"/>
      <x:c r="L178" s="27"/>
      <x:c r="M178" s="27"/>
      <x:c r="N178" s="27"/>
      <x:c r="O178" s="163" t="str">
        <x:f>IF(COUNTA(A178:D178,G178,K178:N178)=0,"",IF(OR(A178="",COUNTIFS($A$5:$A$304,A178)&lt;&gt;1),"ID ausente ou duplicado",IF(OR(NOT(ISNUMBER(B178)),B178&lt;=0),"Data ausente ou inválida",IF(AND(C178&lt;&gt;"Entrada",C178&lt;&gt;"Saída",C178&lt;&gt;"Perda",C178&lt;&gt;"Ajuste positivo",C178&lt;&gt;"Ajuste negativo"),"Tipo de movimento inválido",IF(OR(D178="",COUNTIFS(Lotes!$A$5:$A$204,D178)&lt;&gt;1),"Lote ausente ou desconhecido",IF(COUNTIFS(Lotes!$A$5:$A$204,D178,Lotes!$S$5:$S$204,"?*")&gt;0,"Revisar cadastro do lote",IF(B178&lt;INDEX(Lotes!$E$5:$E$204,MATCH(D178,Lotes!$A$5:$A$204,0)),"Movimento anterior ao recebimento",IF(OR(NOT(ISNUMBER(G178)),G178&lt;=0),"Quantidade ausente ou inválida",""))))))))</x:f>
      </x:c>
      <x:c r="P178" s="163" t="n">
        <x:f>IF(O178="",0,1)</x:f>
        <x:v>0</x:v>
      </x:c>
      <x:c r="Q178" s="163" t="n">
        <x:f>IF(COUNTA(A178:D178,G178,K178:N178)=0,0,IF(OR(Listas!$B$19="Todos",E178=Listas!$B$19,E178="",COUNTIFS(Lotes!$A$5:$A$204,D178)&lt;&gt;1),1,0))</x:f>
        <x:v>0</x:v>
      </x:c>
      <x:c r="R178" s="1"/>
      <x:c r="S178" s="1"/>
      <x:c r="T178" s="1"/>
      <x:c r="U178" s="1"/>
      <x:c r="V178" s="1"/>
      <x:c r="W178" s="1"/>
    </x:row>
    <x:row r="179" ht="32" customHeight="1">
      <x:c r="A179" s="170"/>
      <x:c r="B179" s="179"/>
      <x:c r="C179" s="170"/>
      <x:c r="D179" s="170"/>
      <x:c r="E179" s="40" t="str">
        <x:f>IF($D179="","",IFERROR(INDEX(Lotes!$B$5:$B$204,MATCH($D179,Lotes!$A$5:$A$204,0)),""))</x:f>
      </x:c>
      <x:c r="F179" s="40" t="str">
        <x:f>IF($D179="","",IFERROR(INDEX(Lotes!$C$5:$C$204,MATCH($D179,Lotes!$A$5:$A$204,0)),""))</x:f>
      </x:c>
      <x:c r="G179" s="27"/>
      <x:c r="H179" s="40" t="str">
        <x:f>IF(A179="","",IF(O179&lt;&gt;"","n.a.",IF(OR(C179="Saída",C179="Perda",C179="Ajuste negativo"),-G179,G179)))</x:f>
      </x:c>
      <x:c r="I179" s="181" t="str">
        <x:f>IF($D179="","",IFERROR(INDEX(Lotes!$K$5:$K$204,MATCH($D179,Lotes!$A$5:$A$204,0)),0))</x:f>
      </x:c>
      <x:c r="J179" s="181" t="str">
        <x:f>IF(A179="","",IF(O179&lt;&gt;"","n.a.",ABS(H179)*I179))</x:f>
      </x:c>
      <x:c r="K179" s="27"/>
      <x:c r="L179" s="27"/>
      <x:c r="M179" s="27"/>
      <x:c r="N179" s="27"/>
      <x:c r="O179" s="163" t="str">
        <x:f>IF(COUNTA(A179:D179,G179,K179:N179)=0,"",IF(OR(A179="",COUNTIFS($A$5:$A$304,A179)&lt;&gt;1),"ID ausente ou duplicado",IF(OR(NOT(ISNUMBER(B179)),B179&lt;=0),"Data ausente ou inválida",IF(AND(C179&lt;&gt;"Entrada",C179&lt;&gt;"Saída",C179&lt;&gt;"Perda",C179&lt;&gt;"Ajuste positivo",C179&lt;&gt;"Ajuste negativo"),"Tipo de movimento inválido",IF(OR(D179="",COUNTIFS(Lotes!$A$5:$A$204,D179)&lt;&gt;1),"Lote ausente ou desconhecido",IF(COUNTIFS(Lotes!$A$5:$A$204,D179,Lotes!$S$5:$S$204,"?*")&gt;0,"Revisar cadastro do lote",IF(B179&lt;INDEX(Lotes!$E$5:$E$204,MATCH(D179,Lotes!$A$5:$A$204,0)),"Movimento anterior ao recebimento",IF(OR(NOT(ISNUMBER(G179)),G179&lt;=0),"Quantidade ausente ou inválida",""))))))))</x:f>
      </x:c>
      <x:c r="P179" s="163" t="n">
        <x:f>IF(O179="",0,1)</x:f>
        <x:v>0</x:v>
      </x:c>
      <x:c r="Q179" s="163" t="n">
        <x:f>IF(COUNTA(A179:D179,G179,K179:N179)=0,0,IF(OR(Listas!$B$19="Todos",E179=Listas!$B$19,E179="",COUNTIFS(Lotes!$A$5:$A$204,D179)&lt;&gt;1),1,0))</x:f>
        <x:v>0</x:v>
      </x:c>
      <x:c r="R179" s="1"/>
      <x:c r="S179" s="1"/>
      <x:c r="T179" s="1"/>
      <x:c r="U179" s="1"/>
      <x:c r="V179" s="1"/>
      <x:c r="W179" s="1"/>
    </x:row>
    <x:row r="180" ht="32" customHeight="1">
      <x:c r="A180" s="170"/>
      <x:c r="B180" s="179"/>
      <x:c r="C180" s="170"/>
      <x:c r="D180" s="170"/>
      <x:c r="E180" s="40" t="str">
        <x:f>IF($D180="","",IFERROR(INDEX(Lotes!$B$5:$B$204,MATCH($D180,Lotes!$A$5:$A$204,0)),""))</x:f>
      </x:c>
      <x:c r="F180" s="40" t="str">
        <x:f>IF($D180="","",IFERROR(INDEX(Lotes!$C$5:$C$204,MATCH($D180,Lotes!$A$5:$A$204,0)),""))</x:f>
      </x:c>
      <x:c r="G180" s="27"/>
      <x:c r="H180" s="40" t="str">
        <x:f>IF(A180="","",IF(O180&lt;&gt;"","n.a.",IF(OR(C180="Saída",C180="Perda",C180="Ajuste negativo"),-G180,G180)))</x:f>
      </x:c>
      <x:c r="I180" s="181" t="str">
        <x:f>IF($D180="","",IFERROR(INDEX(Lotes!$K$5:$K$204,MATCH($D180,Lotes!$A$5:$A$204,0)),0))</x:f>
      </x:c>
      <x:c r="J180" s="181" t="str">
        <x:f>IF(A180="","",IF(O180&lt;&gt;"","n.a.",ABS(H180)*I180))</x:f>
      </x:c>
      <x:c r="K180" s="27"/>
      <x:c r="L180" s="27"/>
      <x:c r="M180" s="27"/>
      <x:c r="N180" s="27"/>
      <x:c r="O180" s="163" t="str">
        <x:f>IF(COUNTA(A180:D180,G180,K180:N180)=0,"",IF(OR(A180="",COUNTIFS($A$5:$A$304,A180)&lt;&gt;1),"ID ausente ou duplicado",IF(OR(NOT(ISNUMBER(B180)),B180&lt;=0),"Data ausente ou inválida",IF(AND(C180&lt;&gt;"Entrada",C180&lt;&gt;"Saída",C180&lt;&gt;"Perda",C180&lt;&gt;"Ajuste positivo",C180&lt;&gt;"Ajuste negativo"),"Tipo de movimento inválido",IF(OR(D180="",COUNTIFS(Lotes!$A$5:$A$204,D180)&lt;&gt;1),"Lote ausente ou desconhecido",IF(COUNTIFS(Lotes!$A$5:$A$204,D180,Lotes!$S$5:$S$204,"?*")&gt;0,"Revisar cadastro do lote",IF(B180&lt;INDEX(Lotes!$E$5:$E$204,MATCH(D180,Lotes!$A$5:$A$204,0)),"Movimento anterior ao recebimento",IF(OR(NOT(ISNUMBER(G180)),G180&lt;=0),"Quantidade ausente ou inválida",""))))))))</x:f>
      </x:c>
      <x:c r="P180" s="163" t="n">
        <x:f>IF(O180="",0,1)</x:f>
        <x:v>0</x:v>
      </x:c>
      <x:c r="Q180" s="163" t="n">
        <x:f>IF(COUNTA(A180:D180,G180,K180:N180)=0,0,IF(OR(Listas!$B$19="Todos",E180=Listas!$B$19,E180="",COUNTIFS(Lotes!$A$5:$A$204,D180)&lt;&gt;1),1,0))</x:f>
        <x:v>0</x:v>
      </x:c>
      <x:c r="R180" s="1"/>
      <x:c r="S180" s="1"/>
      <x:c r="T180" s="1"/>
      <x:c r="U180" s="1"/>
      <x:c r="V180" s="1"/>
      <x:c r="W180" s="1"/>
    </x:row>
    <x:row r="181" ht="32" customHeight="1">
      <x:c r="A181" s="170"/>
      <x:c r="B181" s="179"/>
      <x:c r="C181" s="170"/>
      <x:c r="D181" s="170"/>
      <x:c r="E181" s="40" t="str">
        <x:f>IF($D181="","",IFERROR(INDEX(Lotes!$B$5:$B$204,MATCH($D181,Lotes!$A$5:$A$204,0)),""))</x:f>
      </x:c>
      <x:c r="F181" s="40" t="str">
        <x:f>IF($D181="","",IFERROR(INDEX(Lotes!$C$5:$C$204,MATCH($D181,Lotes!$A$5:$A$204,0)),""))</x:f>
      </x:c>
      <x:c r="G181" s="27"/>
      <x:c r="H181" s="40" t="str">
        <x:f>IF(A181="","",IF(O181&lt;&gt;"","n.a.",IF(OR(C181="Saída",C181="Perda",C181="Ajuste negativo"),-G181,G181)))</x:f>
      </x:c>
      <x:c r="I181" s="181" t="str">
        <x:f>IF($D181="","",IFERROR(INDEX(Lotes!$K$5:$K$204,MATCH($D181,Lotes!$A$5:$A$204,0)),0))</x:f>
      </x:c>
      <x:c r="J181" s="181" t="str">
        <x:f>IF(A181="","",IF(O181&lt;&gt;"","n.a.",ABS(H181)*I181))</x:f>
      </x:c>
      <x:c r="K181" s="27"/>
      <x:c r="L181" s="27"/>
      <x:c r="M181" s="27"/>
      <x:c r="N181" s="27"/>
      <x:c r="O181" s="163" t="str">
        <x:f>IF(COUNTA(A181:D181,G181,K181:N181)=0,"",IF(OR(A181="",COUNTIFS($A$5:$A$304,A181)&lt;&gt;1),"ID ausente ou duplicado",IF(OR(NOT(ISNUMBER(B181)),B181&lt;=0),"Data ausente ou inválida",IF(AND(C181&lt;&gt;"Entrada",C181&lt;&gt;"Saída",C181&lt;&gt;"Perda",C181&lt;&gt;"Ajuste positivo",C181&lt;&gt;"Ajuste negativo"),"Tipo de movimento inválido",IF(OR(D181="",COUNTIFS(Lotes!$A$5:$A$204,D181)&lt;&gt;1),"Lote ausente ou desconhecido",IF(COUNTIFS(Lotes!$A$5:$A$204,D181,Lotes!$S$5:$S$204,"?*")&gt;0,"Revisar cadastro do lote",IF(B181&lt;INDEX(Lotes!$E$5:$E$204,MATCH(D181,Lotes!$A$5:$A$204,0)),"Movimento anterior ao recebimento",IF(OR(NOT(ISNUMBER(G181)),G181&lt;=0),"Quantidade ausente ou inválida",""))))))))</x:f>
      </x:c>
      <x:c r="P181" s="163" t="n">
        <x:f>IF(O181="",0,1)</x:f>
        <x:v>0</x:v>
      </x:c>
      <x:c r="Q181" s="163" t="n">
        <x:f>IF(COUNTA(A181:D181,G181,K181:N181)=0,0,IF(OR(Listas!$B$19="Todos",E181=Listas!$B$19,E181="",COUNTIFS(Lotes!$A$5:$A$204,D181)&lt;&gt;1),1,0))</x:f>
        <x:v>0</x:v>
      </x:c>
      <x:c r="R181" s="1"/>
      <x:c r="S181" s="1"/>
      <x:c r="T181" s="1"/>
      <x:c r="U181" s="1"/>
      <x:c r="V181" s="1"/>
      <x:c r="W181" s="1"/>
    </x:row>
    <x:row r="182" ht="32" customHeight="1">
      <x:c r="A182" s="170"/>
      <x:c r="B182" s="179"/>
      <x:c r="C182" s="170"/>
      <x:c r="D182" s="170"/>
      <x:c r="E182" s="40" t="str">
        <x:f>IF($D182="","",IFERROR(INDEX(Lotes!$B$5:$B$204,MATCH($D182,Lotes!$A$5:$A$204,0)),""))</x:f>
      </x:c>
      <x:c r="F182" s="40" t="str">
        <x:f>IF($D182="","",IFERROR(INDEX(Lotes!$C$5:$C$204,MATCH($D182,Lotes!$A$5:$A$204,0)),""))</x:f>
      </x:c>
      <x:c r="G182" s="27"/>
      <x:c r="H182" s="40" t="str">
        <x:f>IF(A182="","",IF(O182&lt;&gt;"","n.a.",IF(OR(C182="Saída",C182="Perda",C182="Ajuste negativo"),-G182,G182)))</x:f>
      </x:c>
      <x:c r="I182" s="181" t="str">
        <x:f>IF($D182="","",IFERROR(INDEX(Lotes!$K$5:$K$204,MATCH($D182,Lotes!$A$5:$A$204,0)),0))</x:f>
      </x:c>
      <x:c r="J182" s="181" t="str">
        <x:f>IF(A182="","",IF(O182&lt;&gt;"","n.a.",ABS(H182)*I182))</x:f>
      </x:c>
      <x:c r="K182" s="27"/>
      <x:c r="L182" s="27"/>
      <x:c r="M182" s="27"/>
      <x:c r="N182" s="27"/>
      <x:c r="O182" s="163" t="str">
        <x:f>IF(COUNTA(A182:D182,G182,K182:N182)=0,"",IF(OR(A182="",COUNTIFS($A$5:$A$304,A182)&lt;&gt;1),"ID ausente ou duplicado",IF(OR(NOT(ISNUMBER(B182)),B182&lt;=0),"Data ausente ou inválida",IF(AND(C182&lt;&gt;"Entrada",C182&lt;&gt;"Saída",C182&lt;&gt;"Perda",C182&lt;&gt;"Ajuste positivo",C182&lt;&gt;"Ajuste negativo"),"Tipo de movimento inválido",IF(OR(D182="",COUNTIFS(Lotes!$A$5:$A$204,D182)&lt;&gt;1),"Lote ausente ou desconhecido",IF(COUNTIFS(Lotes!$A$5:$A$204,D182,Lotes!$S$5:$S$204,"?*")&gt;0,"Revisar cadastro do lote",IF(B182&lt;INDEX(Lotes!$E$5:$E$204,MATCH(D182,Lotes!$A$5:$A$204,0)),"Movimento anterior ao recebimento",IF(OR(NOT(ISNUMBER(G182)),G182&lt;=0),"Quantidade ausente ou inválida",""))))))))</x:f>
      </x:c>
      <x:c r="P182" s="163" t="n">
        <x:f>IF(O182="",0,1)</x:f>
        <x:v>0</x:v>
      </x:c>
      <x:c r="Q182" s="163" t="n">
        <x:f>IF(COUNTA(A182:D182,G182,K182:N182)=0,0,IF(OR(Listas!$B$19="Todos",E182=Listas!$B$19,E182="",COUNTIFS(Lotes!$A$5:$A$204,D182)&lt;&gt;1),1,0))</x:f>
        <x:v>0</x:v>
      </x:c>
      <x:c r="R182" s="1"/>
      <x:c r="S182" s="1"/>
      <x:c r="T182" s="1"/>
      <x:c r="U182" s="1"/>
      <x:c r="V182" s="1"/>
      <x:c r="W182" s="1"/>
    </x:row>
    <x:row r="183" ht="32" customHeight="1">
      <x:c r="A183" s="170"/>
      <x:c r="B183" s="179"/>
      <x:c r="C183" s="170"/>
      <x:c r="D183" s="170"/>
      <x:c r="E183" s="40" t="str">
        <x:f>IF($D183="","",IFERROR(INDEX(Lotes!$B$5:$B$204,MATCH($D183,Lotes!$A$5:$A$204,0)),""))</x:f>
      </x:c>
      <x:c r="F183" s="40" t="str">
        <x:f>IF($D183="","",IFERROR(INDEX(Lotes!$C$5:$C$204,MATCH($D183,Lotes!$A$5:$A$204,0)),""))</x:f>
      </x:c>
      <x:c r="G183" s="27"/>
      <x:c r="H183" s="40" t="str">
        <x:f>IF(A183="","",IF(O183&lt;&gt;"","n.a.",IF(OR(C183="Saída",C183="Perda",C183="Ajuste negativo"),-G183,G183)))</x:f>
      </x:c>
      <x:c r="I183" s="181" t="str">
        <x:f>IF($D183="","",IFERROR(INDEX(Lotes!$K$5:$K$204,MATCH($D183,Lotes!$A$5:$A$204,0)),0))</x:f>
      </x:c>
      <x:c r="J183" s="181" t="str">
        <x:f>IF(A183="","",IF(O183&lt;&gt;"","n.a.",ABS(H183)*I183))</x:f>
      </x:c>
      <x:c r="K183" s="27"/>
      <x:c r="L183" s="27"/>
      <x:c r="M183" s="27"/>
      <x:c r="N183" s="27"/>
      <x:c r="O183" s="163" t="str">
        <x:f>IF(COUNTA(A183:D183,G183,K183:N183)=0,"",IF(OR(A183="",COUNTIFS($A$5:$A$304,A183)&lt;&gt;1),"ID ausente ou duplicado",IF(OR(NOT(ISNUMBER(B183)),B183&lt;=0),"Data ausente ou inválida",IF(AND(C183&lt;&gt;"Entrada",C183&lt;&gt;"Saída",C183&lt;&gt;"Perda",C183&lt;&gt;"Ajuste positivo",C183&lt;&gt;"Ajuste negativo"),"Tipo de movimento inválido",IF(OR(D183="",COUNTIFS(Lotes!$A$5:$A$204,D183)&lt;&gt;1),"Lote ausente ou desconhecido",IF(COUNTIFS(Lotes!$A$5:$A$204,D183,Lotes!$S$5:$S$204,"?*")&gt;0,"Revisar cadastro do lote",IF(B183&lt;INDEX(Lotes!$E$5:$E$204,MATCH(D183,Lotes!$A$5:$A$204,0)),"Movimento anterior ao recebimento",IF(OR(NOT(ISNUMBER(G183)),G183&lt;=0),"Quantidade ausente ou inválida",""))))))))</x:f>
      </x:c>
      <x:c r="P183" s="163" t="n">
        <x:f>IF(O183="",0,1)</x:f>
        <x:v>0</x:v>
      </x:c>
      <x:c r="Q183" s="163" t="n">
        <x:f>IF(COUNTA(A183:D183,G183,K183:N183)=0,0,IF(OR(Listas!$B$19="Todos",E183=Listas!$B$19,E183="",COUNTIFS(Lotes!$A$5:$A$204,D183)&lt;&gt;1),1,0))</x:f>
        <x:v>0</x:v>
      </x:c>
      <x:c r="R183" s="1"/>
      <x:c r="S183" s="1"/>
      <x:c r="T183" s="1"/>
      <x:c r="U183" s="1"/>
      <x:c r="V183" s="1"/>
      <x:c r="W183" s="1"/>
    </x:row>
    <x:row r="184" ht="32" customHeight="1">
      <x:c r="A184" s="170"/>
      <x:c r="B184" s="179"/>
      <x:c r="C184" s="170"/>
      <x:c r="D184" s="170"/>
      <x:c r="E184" s="40" t="str">
        <x:f>IF($D184="","",IFERROR(INDEX(Lotes!$B$5:$B$204,MATCH($D184,Lotes!$A$5:$A$204,0)),""))</x:f>
      </x:c>
      <x:c r="F184" s="40" t="str">
        <x:f>IF($D184="","",IFERROR(INDEX(Lotes!$C$5:$C$204,MATCH($D184,Lotes!$A$5:$A$204,0)),""))</x:f>
      </x:c>
      <x:c r="G184" s="27"/>
      <x:c r="H184" s="40" t="str">
        <x:f>IF(A184="","",IF(O184&lt;&gt;"","n.a.",IF(OR(C184="Saída",C184="Perda",C184="Ajuste negativo"),-G184,G184)))</x:f>
      </x:c>
      <x:c r="I184" s="181" t="str">
        <x:f>IF($D184="","",IFERROR(INDEX(Lotes!$K$5:$K$204,MATCH($D184,Lotes!$A$5:$A$204,0)),0))</x:f>
      </x:c>
      <x:c r="J184" s="181" t="str">
        <x:f>IF(A184="","",IF(O184&lt;&gt;"","n.a.",ABS(H184)*I184))</x:f>
      </x:c>
      <x:c r="K184" s="27"/>
      <x:c r="L184" s="27"/>
      <x:c r="M184" s="27"/>
      <x:c r="N184" s="27"/>
      <x:c r="O184" s="163" t="str">
        <x:f>IF(COUNTA(A184:D184,G184,K184:N184)=0,"",IF(OR(A184="",COUNTIFS($A$5:$A$304,A184)&lt;&gt;1),"ID ausente ou duplicado",IF(OR(NOT(ISNUMBER(B184)),B184&lt;=0),"Data ausente ou inválida",IF(AND(C184&lt;&gt;"Entrada",C184&lt;&gt;"Saída",C184&lt;&gt;"Perda",C184&lt;&gt;"Ajuste positivo",C184&lt;&gt;"Ajuste negativo"),"Tipo de movimento inválido",IF(OR(D184="",COUNTIFS(Lotes!$A$5:$A$204,D184)&lt;&gt;1),"Lote ausente ou desconhecido",IF(COUNTIFS(Lotes!$A$5:$A$204,D184,Lotes!$S$5:$S$204,"?*")&gt;0,"Revisar cadastro do lote",IF(B184&lt;INDEX(Lotes!$E$5:$E$204,MATCH(D184,Lotes!$A$5:$A$204,0)),"Movimento anterior ao recebimento",IF(OR(NOT(ISNUMBER(G184)),G184&lt;=0),"Quantidade ausente ou inválida",""))))))))</x:f>
      </x:c>
      <x:c r="P184" s="163" t="n">
        <x:f>IF(O184="",0,1)</x:f>
        <x:v>0</x:v>
      </x:c>
      <x:c r="Q184" s="163" t="n">
        <x:f>IF(COUNTA(A184:D184,G184,K184:N184)=0,0,IF(OR(Listas!$B$19="Todos",E184=Listas!$B$19,E184="",COUNTIFS(Lotes!$A$5:$A$204,D184)&lt;&gt;1),1,0))</x:f>
        <x:v>0</x:v>
      </x:c>
      <x:c r="R184" s="1"/>
      <x:c r="S184" s="1"/>
      <x:c r="T184" s="1"/>
      <x:c r="U184" s="1"/>
      <x:c r="V184" s="1"/>
      <x:c r="W184" s="1"/>
    </x:row>
    <x:row r="185" ht="32" customHeight="1">
      <x:c r="A185" s="170"/>
      <x:c r="B185" s="179"/>
      <x:c r="C185" s="170"/>
      <x:c r="D185" s="170"/>
      <x:c r="E185" s="40" t="str">
        <x:f>IF($D185="","",IFERROR(INDEX(Lotes!$B$5:$B$204,MATCH($D185,Lotes!$A$5:$A$204,0)),""))</x:f>
      </x:c>
      <x:c r="F185" s="40" t="str">
        <x:f>IF($D185="","",IFERROR(INDEX(Lotes!$C$5:$C$204,MATCH($D185,Lotes!$A$5:$A$204,0)),""))</x:f>
      </x:c>
      <x:c r="G185" s="27"/>
      <x:c r="H185" s="40" t="str">
        <x:f>IF(A185="","",IF(O185&lt;&gt;"","n.a.",IF(OR(C185="Saída",C185="Perda",C185="Ajuste negativo"),-G185,G185)))</x:f>
      </x:c>
      <x:c r="I185" s="181" t="str">
        <x:f>IF($D185="","",IFERROR(INDEX(Lotes!$K$5:$K$204,MATCH($D185,Lotes!$A$5:$A$204,0)),0))</x:f>
      </x:c>
      <x:c r="J185" s="181" t="str">
        <x:f>IF(A185="","",IF(O185&lt;&gt;"","n.a.",ABS(H185)*I185))</x:f>
      </x:c>
      <x:c r="K185" s="27"/>
      <x:c r="L185" s="27"/>
      <x:c r="M185" s="27"/>
      <x:c r="N185" s="27"/>
      <x:c r="O185" s="163" t="str">
        <x:f>IF(COUNTA(A185:D185,G185,K185:N185)=0,"",IF(OR(A185="",COUNTIFS($A$5:$A$304,A185)&lt;&gt;1),"ID ausente ou duplicado",IF(OR(NOT(ISNUMBER(B185)),B185&lt;=0),"Data ausente ou inválida",IF(AND(C185&lt;&gt;"Entrada",C185&lt;&gt;"Saída",C185&lt;&gt;"Perda",C185&lt;&gt;"Ajuste positivo",C185&lt;&gt;"Ajuste negativo"),"Tipo de movimento inválido",IF(OR(D185="",COUNTIFS(Lotes!$A$5:$A$204,D185)&lt;&gt;1),"Lote ausente ou desconhecido",IF(COUNTIFS(Lotes!$A$5:$A$204,D185,Lotes!$S$5:$S$204,"?*")&gt;0,"Revisar cadastro do lote",IF(B185&lt;INDEX(Lotes!$E$5:$E$204,MATCH(D185,Lotes!$A$5:$A$204,0)),"Movimento anterior ao recebimento",IF(OR(NOT(ISNUMBER(G185)),G185&lt;=0),"Quantidade ausente ou inválida",""))))))))</x:f>
      </x:c>
      <x:c r="P185" s="163" t="n">
        <x:f>IF(O185="",0,1)</x:f>
        <x:v>0</x:v>
      </x:c>
      <x:c r="Q185" s="163" t="n">
        <x:f>IF(COUNTA(A185:D185,G185,K185:N185)=0,0,IF(OR(Listas!$B$19="Todos",E185=Listas!$B$19,E185="",COUNTIFS(Lotes!$A$5:$A$204,D185)&lt;&gt;1),1,0))</x:f>
        <x:v>0</x:v>
      </x:c>
      <x:c r="R185" s="1"/>
      <x:c r="S185" s="1"/>
      <x:c r="T185" s="1"/>
      <x:c r="U185" s="1"/>
      <x:c r="V185" s="1"/>
      <x:c r="W185" s="1"/>
    </x:row>
    <x:row r="186" ht="32" customHeight="1">
      <x:c r="A186" s="170"/>
      <x:c r="B186" s="179"/>
      <x:c r="C186" s="170"/>
      <x:c r="D186" s="170"/>
      <x:c r="E186" s="40" t="str">
        <x:f>IF($D186="","",IFERROR(INDEX(Lotes!$B$5:$B$204,MATCH($D186,Lotes!$A$5:$A$204,0)),""))</x:f>
      </x:c>
      <x:c r="F186" s="40" t="str">
        <x:f>IF($D186="","",IFERROR(INDEX(Lotes!$C$5:$C$204,MATCH($D186,Lotes!$A$5:$A$204,0)),""))</x:f>
      </x:c>
      <x:c r="G186" s="27"/>
      <x:c r="H186" s="40" t="str">
        <x:f>IF(A186="","",IF(O186&lt;&gt;"","n.a.",IF(OR(C186="Saída",C186="Perda",C186="Ajuste negativo"),-G186,G186)))</x:f>
      </x:c>
      <x:c r="I186" s="181" t="str">
        <x:f>IF($D186="","",IFERROR(INDEX(Lotes!$K$5:$K$204,MATCH($D186,Lotes!$A$5:$A$204,0)),0))</x:f>
      </x:c>
      <x:c r="J186" s="181" t="str">
        <x:f>IF(A186="","",IF(O186&lt;&gt;"","n.a.",ABS(H186)*I186))</x:f>
      </x:c>
      <x:c r="K186" s="27"/>
      <x:c r="L186" s="27"/>
      <x:c r="M186" s="27"/>
      <x:c r="N186" s="27"/>
      <x:c r="O186" s="163" t="str">
        <x:f>IF(COUNTA(A186:D186,G186,K186:N186)=0,"",IF(OR(A186="",COUNTIFS($A$5:$A$304,A186)&lt;&gt;1),"ID ausente ou duplicado",IF(OR(NOT(ISNUMBER(B186)),B186&lt;=0),"Data ausente ou inválida",IF(AND(C186&lt;&gt;"Entrada",C186&lt;&gt;"Saída",C186&lt;&gt;"Perda",C186&lt;&gt;"Ajuste positivo",C186&lt;&gt;"Ajuste negativo"),"Tipo de movimento inválido",IF(OR(D186="",COUNTIFS(Lotes!$A$5:$A$204,D186)&lt;&gt;1),"Lote ausente ou desconhecido",IF(COUNTIFS(Lotes!$A$5:$A$204,D186,Lotes!$S$5:$S$204,"?*")&gt;0,"Revisar cadastro do lote",IF(B186&lt;INDEX(Lotes!$E$5:$E$204,MATCH(D186,Lotes!$A$5:$A$204,0)),"Movimento anterior ao recebimento",IF(OR(NOT(ISNUMBER(G186)),G186&lt;=0),"Quantidade ausente ou inválida",""))))))))</x:f>
      </x:c>
      <x:c r="P186" s="163" t="n">
        <x:f>IF(O186="",0,1)</x:f>
        <x:v>0</x:v>
      </x:c>
      <x:c r="Q186" s="163" t="n">
        <x:f>IF(COUNTA(A186:D186,G186,K186:N186)=0,0,IF(OR(Listas!$B$19="Todos",E186=Listas!$B$19,E186="",COUNTIFS(Lotes!$A$5:$A$204,D186)&lt;&gt;1),1,0))</x:f>
        <x:v>0</x:v>
      </x:c>
      <x:c r="R186" s="1"/>
      <x:c r="S186" s="1"/>
      <x:c r="T186" s="1"/>
      <x:c r="U186" s="1"/>
      <x:c r="V186" s="1"/>
      <x:c r="W186" s="1"/>
    </x:row>
    <x:row r="187" ht="32" customHeight="1">
      <x:c r="A187" s="170"/>
      <x:c r="B187" s="179"/>
      <x:c r="C187" s="170"/>
      <x:c r="D187" s="170"/>
      <x:c r="E187" s="40" t="str">
        <x:f>IF($D187="","",IFERROR(INDEX(Lotes!$B$5:$B$204,MATCH($D187,Lotes!$A$5:$A$204,0)),""))</x:f>
      </x:c>
      <x:c r="F187" s="40" t="str">
        <x:f>IF($D187="","",IFERROR(INDEX(Lotes!$C$5:$C$204,MATCH($D187,Lotes!$A$5:$A$204,0)),""))</x:f>
      </x:c>
      <x:c r="G187" s="27"/>
      <x:c r="H187" s="40" t="str">
        <x:f>IF(A187="","",IF(O187&lt;&gt;"","n.a.",IF(OR(C187="Saída",C187="Perda",C187="Ajuste negativo"),-G187,G187)))</x:f>
      </x:c>
      <x:c r="I187" s="181" t="str">
        <x:f>IF($D187="","",IFERROR(INDEX(Lotes!$K$5:$K$204,MATCH($D187,Lotes!$A$5:$A$204,0)),0))</x:f>
      </x:c>
      <x:c r="J187" s="181" t="str">
        <x:f>IF(A187="","",IF(O187&lt;&gt;"","n.a.",ABS(H187)*I187))</x:f>
      </x:c>
      <x:c r="K187" s="27"/>
      <x:c r="L187" s="27"/>
      <x:c r="M187" s="27"/>
      <x:c r="N187" s="27"/>
      <x:c r="O187" s="163" t="str">
        <x:f>IF(COUNTA(A187:D187,G187,K187:N187)=0,"",IF(OR(A187="",COUNTIFS($A$5:$A$304,A187)&lt;&gt;1),"ID ausente ou duplicado",IF(OR(NOT(ISNUMBER(B187)),B187&lt;=0),"Data ausente ou inválida",IF(AND(C187&lt;&gt;"Entrada",C187&lt;&gt;"Saída",C187&lt;&gt;"Perda",C187&lt;&gt;"Ajuste positivo",C187&lt;&gt;"Ajuste negativo"),"Tipo de movimento inválido",IF(OR(D187="",COUNTIFS(Lotes!$A$5:$A$204,D187)&lt;&gt;1),"Lote ausente ou desconhecido",IF(COUNTIFS(Lotes!$A$5:$A$204,D187,Lotes!$S$5:$S$204,"?*")&gt;0,"Revisar cadastro do lote",IF(B187&lt;INDEX(Lotes!$E$5:$E$204,MATCH(D187,Lotes!$A$5:$A$204,0)),"Movimento anterior ao recebimento",IF(OR(NOT(ISNUMBER(G187)),G187&lt;=0),"Quantidade ausente ou inválida",""))))))))</x:f>
      </x:c>
      <x:c r="P187" s="163" t="n">
        <x:f>IF(O187="",0,1)</x:f>
        <x:v>0</x:v>
      </x:c>
      <x:c r="Q187" s="163" t="n">
        <x:f>IF(COUNTA(A187:D187,G187,K187:N187)=0,0,IF(OR(Listas!$B$19="Todos",E187=Listas!$B$19,E187="",COUNTIFS(Lotes!$A$5:$A$204,D187)&lt;&gt;1),1,0))</x:f>
        <x:v>0</x:v>
      </x:c>
      <x:c r="R187" s="1"/>
      <x:c r="S187" s="1"/>
      <x:c r="T187" s="1"/>
      <x:c r="U187" s="1"/>
      <x:c r="V187" s="1"/>
      <x:c r="W187" s="1"/>
    </x:row>
    <x:row r="188" ht="32" customHeight="1">
      <x:c r="A188" s="170"/>
      <x:c r="B188" s="179"/>
      <x:c r="C188" s="170"/>
      <x:c r="D188" s="170"/>
      <x:c r="E188" s="40" t="str">
        <x:f>IF($D188="","",IFERROR(INDEX(Lotes!$B$5:$B$204,MATCH($D188,Lotes!$A$5:$A$204,0)),""))</x:f>
      </x:c>
      <x:c r="F188" s="40" t="str">
        <x:f>IF($D188="","",IFERROR(INDEX(Lotes!$C$5:$C$204,MATCH($D188,Lotes!$A$5:$A$204,0)),""))</x:f>
      </x:c>
      <x:c r="G188" s="27"/>
      <x:c r="H188" s="40" t="str">
        <x:f>IF(A188="","",IF(O188&lt;&gt;"","n.a.",IF(OR(C188="Saída",C188="Perda",C188="Ajuste negativo"),-G188,G188)))</x:f>
      </x:c>
      <x:c r="I188" s="181" t="str">
        <x:f>IF($D188="","",IFERROR(INDEX(Lotes!$K$5:$K$204,MATCH($D188,Lotes!$A$5:$A$204,0)),0))</x:f>
      </x:c>
      <x:c r="J188" s="181" t="str">
        <x:f>IF(A188="","",IF(O188&lt;&gt;"","n.a.",ABS(H188)*I188))</x:f>
      </x:c>
      <x:c r="K188" s="27"/>
      <x:c r="L188" s="27"/>
      <x:c r="M188" s="27"/>
      <x:c r="N188" s="27"/>
      <x:c r="O188" s="163" t="str">
        <x:f>IF(COUNTA(A188:D188,G188,K188:N188)=0,"",IF(OR(A188="",COUNTIFS($A$5:$A$304,A188)&lt;&gt;1),"ID ausente ou duplicado",IF(OR(NOT(ISNUMBER(B188)),B188&lt;=0),"Data ausente ou inválida",IF(AND(C188&lt;&gt;"Entrada",C188&lt;&gt;"Saída",C188&lt;&gt;"Perda",C188&lt;&gt;"Ajuste positivo",C188&lt;&gt;"Ajuste negativo"),"Tipo de movimento inválido",IF(OR(D188="",COUNTIFS(Lotes!$A$5:$A$204,D188)&lt;&gt;1),"Lote ausente ou desconhecido",IF(COUNTIFS(Lotes!$A$5:$A$204,D188,Lotes!$S$5:$S$204,"?*")&gt;0,"Revisar cadastro do lote",IF(B188&lt;INDEX(Lotes!$E$5:$E$204,MATCH(D188,Lotes!$A$5:$A$204,0)),"Movimento anterior ao recebimento",IF(OR(NOT(ISNUMBER(G188)),G188&lt;=0),"Quantidade ausente ou inválida",""))))))))</x:f>
      </x:c>
      <x:c r="P188" s="163" t="n">
        <x:f>IF(O188="",0,1)</x:f>
        <x:v>0</x:v>
      </x:c>
      <x:c r="Q188" s="163" t="n">
        <x:f>IF(COUNTA(A188:D188,G188,K188:N188)=0,0,IF(OR(Listas!$B$19="Todos",E188=Listas!$B$19,E188="",COUNTIFS(Lotes!$A$5:$A$204,D188)&lt;&gt;1),1,0))</x:f>
        <x:v>0</x:v>
      </x:c>
      <x:c r="R188" s="1"/>
      <x:c r="S188" s="1"/>
      <x:c r="T188" s="1"/>
      <x:c r="U188" s="1"/>
      <x:c r="V188" s="1"/>
      <x:c r="W188" s="1"/>
    </x:row>
    <x:row r="189" ht="32" customHeight="1">
      <x:c r="A189" s="170"/>
      <x:c r="B189" s="179"/>
      <x:c r="C189" s="170"/>
      <x:c r="D189" s="170"/>
      <x:c r="E189" s="40" t="str">
        <x:f>IF($D189="","",IFERROR(INDEX(Lotes!$B$5:$B$204,MATCH($D189,Lotes!$A$5:$A$204,0)),""))</x:f>
      </x:c>
      <x:c r="F189" s="40" t="str">
        <x:f>IF($D189="","",IFERROR(INDEX(Lotes!$C$5:$C$204,MATCH($D189,Lotes!$A$5:$A$204,0)),""))</x:f>
      </x:c>
      <x:c r="G189" s="27"/>
      <x:c r="H189" s="40" t="str">
        <x:f>IF(A189="","",IF(O189&lt;&gt;"","n.a.",IF(OR(C189="Saída",C189="Perda",C189="Ajuste negativo"),-G189,G189)))</x:f>
      </x:c>
      <x:c r="I189" s="181" t="str">
        <x:f>IF($D189="","",IFERROR(INDEX(Lotes!$K$5:$K$204,MATCH($D189,Lotes!$A$5:$A$204,0)),0))</x:f>
      </x:c>
      <x:c r="J189" s="181" t="str">
        <x:f>IF(A189="","",IF(O189&lt;&gt;"","n.a.",ABS(H189)*I189))</x:f>
      </x:c>
      <x:c r="K189" s="27"/>
      <x:c r="L189" s="27"/>
      <x:c r="M189" s="27"/>
      <x:c r="N189" s="27"/>
      <x:c r="O189" s="163" t="str">
        <x:f>IF(COUNTA(A189:D189,G189,K189:N189)=0,"",IF(OR(A189="",COUNTIFS($A$5:$A$304,A189)&lt;&gt;1),"ID ausente ou duplicado",IF(OR(NOT(ISNUMBER(B189)),B189&lt;=0),"Data ausente ou inválida",IF(AND(C189&lt;&gt;"Entrada",C189&lt;&gt;"Saída",C189&lt;&gt;"Perda",C189&lt;&gt;"Ajuste positivo",C189&lt;&gt;"Ajuste negativo"),"Tipo de movimento inválido",IF(OR(D189="",COUNTIFS(Lotes!$A$5:$A$204,D189)&lt;&gt;1),"Lote ausente ou desconhecido",IF(COUNTIFS(Lotes!$A$5:$A$204,D189,Lotes!$S$5:$S$204,"?*")&gt;0,"Revisar cadastro do lote",IF(B189&lt;INDEX(Lotes!$E$5:$E$204,MATCH(D189,Lotes!$A$5:$A$204,0)),"Movimento anterior ao recebimento",IF(OR(NOT(ISNUMBER(G189)),G189&lt;=0),"Quantidade ausente ou inválida",""))))))))</x:f>
      </x:c>
      <x:c r="P189" s="163" t="n">
        <x:f>IF(O189="",0,1)</x:f>
        <x:v>0</x:v>
      </x:c>
      <x:c r="Q189" s="163" t="n">
        <x:f>IF(COUNTA(A189:D189,G189,K189:N189)=0,0,IF(OR(Listas!$B$19="Todos",E189=Listas!$B$19,E189="",COUNTIFS(Lotes!$A$5:$A$204,D189)&lt;&gt;1),1,0))</x:f>
        <x:v>0</x:v>
      </x:c>
      <x:c r="R189" s="1"/>
      <x:c r="S189" s="1"/>
      <x:c r="T189" s="1"/>
      <x:c r="U189" s="1"/>
      <x:c r="V189" s="1"/>
      <x:c r="W189" s="1"/>
    </x:row>
    <x:row r="190" ht="32" customHeight="1">
      <x:c r="A190" s="170"/>
      <x:c r="B190" s="179"/>
      <x:c r="C190" s="170"/>
      <x:c r="D190" s="170"/>
      <x:c r="E190" s="40" t="str">
        <x:f>IF($D190="","",IFERROR(INDEX(Lotes!$B$5:$B$204,MATCH($D190,Lotes!$A$5:$A$204,0)),""))</x:f>
      </x:c>
      <x:c r="F190" s="40" t="str">
        <x:f>IF($D190="","",IFERROR(INDEX(Lotes!$C$5:$C$204,MATCH($D190,Lotes!$A$5:$A$204,0)),""))</x:f>
      </x:c>
      <x:c r="G190" s="27"/>
      <x:c r="H190" s="40" t="str">
        <x:f>IF(A190="","",IF(O190&lt;&gt;"","n.a.",IF(OR(C190="Saída",C190="Perda",C190="Ajuste negativo"),-G190,G190)))</x:f>
      </x:c>
      <x:c r="I190" s="181" t="str">
        <x:f>IF($D190="","",IFERROR(INDEX(Lotes!$K$5:$K$204,MATCH($D190,Lotes!$A$5:$A$204,0)),0))</x:f>
      </x:c>
      <x:c r="J190" s="181" t="str">
        <x:f>IF(A190="","",IF(O190&lt;&gt;"","n.a.",ABS(H190)*I190))</x:f>
      </x:c>
      <x:c r="K190" s="27"/>
      <x:c r="L190" s="27"/>
      <x:c r="M190" s="27"/>
      <x:c r="N190" s="27"/>
      <x:c r="O190" s="163" t="str">
        <x:f>IF(COUNTA(A190:D190,G190,K190:N190)=0,"",IF(OR(A190="",COUNTIFS($A$5:$A$304,A190)&lt;&gt;1),"ID ausente ou duplicado",IF(OR(NOT(ISNUMBER(B190)),B190&lt;=0),"Data ausente ou inválida",IF(AND(C190&lt;&gt;"Entrada",C190&lt;&gt;"Saída",C190&lt;&gt;"Perda",C190&lt;&gt;"Ajuste positivo",C190&lt;&gt;"Ajuste negativo"),"Tipo de movimento inválido",IF(OR(D190="",COUNTIFS(Lotes!$A$5:$A$204,D190)&lt;&gt;1),"Lote ausente ou desconhecido",IF(COUNTIFS(Lotes!$A$5:$A$204,D190,Lotes!$S$5:$S$204,"?*")&gt;0,"Revisar cadastro do lote",IF(B190&lt;INDEX(Lotes!$E$5:$E$204,MATCH(D190,Lotes!$A$5:$A$204,0)),"Movimento anterior ao recebimento",IF(OR(NOT(ISNUMBER(G190)),G190&lt;=0),"Quantidade ausente ou inválida",""))))))))</x:f>
      </x:c>
      <x:c r="P190" s="163" t="n">
        <x:f>IF(O190="",0,1)</x:f>
        <x:v>0</x:v>
      </x:c>
      <x:c r="Q190" s="163" t="n">
        <x:f>IF(COUNTA(A190:D190,G190,K190:N190)=0,0,IF(OR(Listas!$B$19="Todos",E190=Listas!$B$19,E190="",COUNTIFS(Lotes!$A$5:$A$204,D190)&lt;&gt;1),1,0))</x:f>
        <x:v>0</x:v>
      </x:c>
      <x:c r="R190" s="1"/>
      <x:c r="S190" s="1"/>
      <x:c r="T190" s="1"/>
      <x:c r="U190" s="1"/>
      <x:c r="V190" s="1"/>
      <x:c r="W190" s="1"/>
    </x:row>
    <x:row r="191" ht="32" customHeight="1">
      <x:c r="A191" s="170"/>
      <x:c r="B191" s="179"/>
      <x:c r="C191" s="170"/>
      <x:c r="D191" s="170"/>
      <x:c r="E191" s="40" t="str">
        <x:f>IF($D191="","",IFERROR(INDEX(Lotes!$B$5:$B$204,MATCH($D191,Lotes!$A$5:$A$204,0)),""))</x:f>
      </x:c>
      <x:c r="F191" s="40" t="str">
        <x:f>IF($D191="","",IFERROR(INDEX(Lotes!$C$5:$C$204,MATCH($D191,Lotes!$A$5:$A$204,0)),""))</x:f>
      </x:c>
      <x:c r="G191" s="27"/>
      <x:c r="H191" s="40" t="str">
        <x:f>IF(A191="","",IF(O191&lt;&gt;"","n.a.",IF(OR(C191="Saída",C191="Perda",C191="Ajuste negativo"),-G191,G191)))</x:f>
      </x:c>
      <x:c r="I191" s="181" t="str">
        <x:f>IF($D191="","",IFERROR(INDEX(Lotes!$K$5:$K$204,MATCH($D191,Lotes!$A$5:$A$204,0)),0))</x:f>
      </x:c>
      <x:c r="J191" s="181" t="str">
        <x:f>IF(A191="","",IF(O191&lt;&gt;"","n.a.",ABS(H191)*I191))</x:f>
      </x:c>
      <x:c r="K191" s="27"/>
      <x:c r="L191" s="27"/>
      <x:c r="M191" s="27"/>
      <x:c r="N191" s="27"/>
      <x:c r="O191" s="163" t="str">
        <x:f>IF(COUNTA(A191:D191,G191,K191:N191)=0,"",IF(OR(A191="",COUNTIFS($A$5:$A$304,A191)&lt;&gt;1),"ID ausente ou duplicado",IF(OR(NOT(ISNUMBER(B191)),B191&lt;=0),"Data ausente ou inválida",IF(AND(C191&lt;&gt;"Entrada",C191&lt;&gt;"Saída",C191&lt;&gt;"Perda",C191&lt;&gt;"Ajuste positivo",C191&lt;&gt;"Ajuste negativo"),"Tipo de movimento inválido",IF(OR(D191="",COUNTIFS(Lotes!$A$5:$A$204,D191)&lt;&gt;1),"Lote ausente ou desconhecido",IF(COUNTIFS(Lotes!$A$5:$A$204,D191,Lotes!$S$5:$S$204,"?*")&gt;0,"Revisar cadastro do lote",IF(B191&lt;INDEX(Lotes!$E$5:$E$204,MATCH(D191,Lotes!$A$5:$A$204,0)),"Movimento anterior ao recebimento",IF(OR(NOT(ISNUMBER(G191)),G191&lt;=0),"Quantidade ausente ou inválida",""))))))))</x:f>
      </x:c>
      <x:c r="P191" s="163" t="n">
        <x:f>IF(O191="",0,1)</x:f>
        <x:v>0</x:v>
      </x:c>
      <x:c r="Q191" s="163" t="n">
        <x:f>IF(COUNTA(A191:D191,G191,K191:N191)=0,0,IF(OR(Listas!$B$19="Todos",E191=Listas!$B$19,E191="",COUNTIFS(Lotes!$A$5:$A$204,D191)&lt;&gt;1),1,0))</x:f>
        <x:v>0</x:v>
      </x:c>
      <x:c r="R191" s="1"/>
      <x:c r="S191" s="1"/>
      <x:c r="T191" s="1"/>
      <x:c r="U191" s="1"/>
      <x:c r="V191" s="1"/>
      <x:c r="W191" s="1"/>
    </x:row>
    <x:row r="192" ht="32" customHeight="1">
      <x:c r="A192" s="170"/>
      <x:c r="B192" s="179"/>
      <x:c r="C192" s="170"/>
      <x:c r="D192" s="170"/>
      <x:c r="E192" s="40" t="str">
        <x:f>IF($D192="","",IFERROR(INDEX(Lotes!$B$5:$B$204,MATCH($D192,Lotes!$A$5:$A$204,0)),""))</x:f>
      </x:c>
      <x:c r="F192" s="40" t="str">
        <x:f>IF($D192="","",IFERROR(INDEX(Lotes!$C$5:$C$204,MATCH($D192,Lotes!$A$5:$A$204,0)),""))</x:f>
      </x:c>
      <x:c r="G192" s="27"/>
      <x:c r="H192" s="40" t="str">
        <x:f>IF(A192="","",IF(O192&lt;&gt;"","n.a.",IF(OR(C192="Saída",C192="Perda",C192="Ajuste negativo"),-G192,G192)))</x:f>
      </x:c>
      <x:c r="I192" s="181" t="str">
        <x:f>IF($D192="","",IFERROR(INDEX(Lotes!$K$5:$K$204,MATCH($D192,Lotes!$A$5:$A$204,0)),0))</x:f>
      </x:c>
      <x:c r="J192" s="181" t="str">
        <x:f>IF(A192="","",IF(O192&lt;&gt;"","n.a.",ABS(H192)*I192))</x:f>
      </x:c>
      <x:c r="K192" s="27"/>
      <x:c r="L192" s="27"/>
      <x:c r="M192" s="27"/>
      <x:c r="N192" s="27"/>
      <x:c r="O192" s="163" t="str">
        <x:f>IF(COUNTA(A192:D192,G192,K192:N192)=0,"",IF(OR(A192="",COUNTIFS($A$5:$A$304,A192)&lt;&gt;1),"ID ausente ou duplicado",IF(OR(NOT(ISNUMBER(B192)),B192&lt;=0),"Data ausente ou inválida",IF(AND(C192&lt;&gt;"Entrada",C192&lt;&gt;"Saída",C192&lt;&gt;"Perda",C192&lt;&gt;"Ajuste positivo",C192&lt;&gt;"Ajuste negativo"),"Tipo de movimento inválido",IF(OR(D192="",COUNTIFS(Lotes!$A$5:$A$204,D192)&lt;&gt;1),"Lote ausente ou desconhecido",IF(COUNTIFS(Lotes!$A$5:$A$204,D192,Lotes!$S$5:$S$204,"?*")&gt;0,"Revisar cadastro do lote",IF(B192&lt;INDEX(Lotes!$E$5:$E$204,MATCH(D192,Lotes!$A$5:$A$204,0)),"Movimento anterior ao recebimento",IF(OR(NOT(ISNUMBER(G192)),G192&lt;=0),"Quantidade ausente ou inválida",""))))))))</x:f>
      </x:c>
      <x:c r="P192" s="163" t="n">
        <x:f>IF(O192="",0,1)</x:f>
        <x:v>0</x:v>
      </x:c>
      <x:c r="Q192" s="163" t="n">
        <x:f>IF(COUNTA(A192:D192,G192,K192:N192)=0,0,IF(OR(Listas!$B$19="Todos",E192=Listas!$B$19,E192="",COUNTIFS(Lotes!$A$5:$A$204,D192)&lt;&gt;1),1,0))</x:f>
        <x:v>0</x:v>
      </x:c>
      <x:c r="R192" s="1"/>
      <x:c r="S192" s="1"/>
      <x:c r="T192" s="1"/>
      <x:c r="U192" s="1"/>
      <x:c r="V192" s="1"/>
      <x:c r="W192" s="1"/>
    </x:row>
    <x:row r="193" ht="32" customHeight="1">
      <x:c r="A193" s="170"/>
      <x:c r="B193" s="179"/>
      <x:c r="C193" s="170"/>
      <x:c r="D193" s="170"/>
      <x:c r="E193" s="40" t="str">
        <x:f>IF($D193="","",IFERROR(INDEX(Lotes!$B$5:$B$204,MATCH($D193,Lotes!$A$5:$A$204,0)),""))</x:f>
      </x:c>
      <x:c r="F193" s="40" t="str">
        <x:f>IF($D193="","",IFERROR(INDEX(Lotes!$C$5:$C$204,MATCH($D193,Lotes!$A$5:$A$204,0)),""))</x:f>
      </x:c>
      <x:c r="G193" s="27"/>
      <x:c r="H193" s="40" t="str">
        <x:f>IF(A193="","",IF(O193&lt;&gt;"","n.a.",IF(OR(C193="Saída",C193="Perda",C193="Ajuste negativo"),-G193,G193)))</x:f>
      </x:c>
      <x:c r="I193" s="181" t="str">
        <x:f>IF($D193="","",IFERROR(INDEX(Lotes!$K$5:$K$204,MATCH($D193,Lotes!$A$5:$A$204,0)),0))</x:f>
      </x:c>
      <x:c r="J193" s="181" t="str">
        <x:f>IF(A193="","",IF(O193&lt;&gt;"","n.a.",ABS(H193)*I193))</x:f>
      </x:c>
      <x:c r="K193" s="27"/>
      <x:c r="L193" s="27"/>
      <x:c r="M193" s="27"/>
      <x:c r="N193" s="27"/>
      <x:c r="O193" s="163" t="str">
        <x:f>IF(COUNTA(A193:D193,G193,K193:N193)=0,"",IF(OR(A193="",COUNTIFS($A$5:$A$304,A193)&lt;&gt;1),"ID ausente ou duplicado",IF(OR(NOT(ISNUMBER(B193)),B193&lt;=0),"Data ausente ou inválida",IF(AND(C193&lt;&gt;"Entrada",C193&lt;&gt;"Saída",C193&lt;&gt;"Perda",C193&lt;&gt;"Ajuste positivo",C193&lt;&gt;"Ajuste negativo"),"Tipo de movimento inválido",IF(OR(D193="",COUNTIFS(Lotes!$A$5:$A$204,D193)&lt;&gt;1),"Lote ausente ou desconhecido",IF(COUNTIFS(Lotes!$A$5:$A$204,D193,Lotes!$S$5:$S$204,"?*")&gt;0,"Revisar cadastro do lote",IF(B193&lt;INDEX(Lotes!$E$5:$E$204,MATCH(D193,Lotes!$A$5:$A$204,0)),"Movimento anterior ao recebimento",IF(OR(NOT(ISNUMBER(G193)),G193&lt;=0),"Quantidade ausente ou inválida",""))))))))</x:f>
      </x:c>
      <x:c r="P193" s="163" t="n">
        <x:f>IF(O193="",0,1)</x:f>
        <x:v>0</x:v>
      </x:c>
      <x:c r="Q193" s="163" t="n">
        <x:f>IF(COUNTA(A193:D193,G193,K193:N193)=0,0,IF(OR(Listas!$B$19="Todos",E193=Listas!$B$19,E193="",COUNTIFS(Lotes!$A$5:$A$204,D193)&lt;&gt;1),1,0))</x:f>
        <x:v>0</x:v>
      </x:c>
      <x:c r="R193" s="1"/>
      <x:c r="S193" s="1"/>
      <x:c r="T193" s="1"/>
      <x:c r="U193" s="1"/>
      <x:c r="V193" s="1"/>
      <x:c r="W193" s="1"/>
    </x:row>
    <x:row r="194" ht="32" customHeight="1">
      <x:c r="A194" s="170"/>
      <x:c r="B194" s="179"/>
      <x:c r="C194" s="170"/>
      <x:c r="D194" s="170"/>
      <x:c r="E194" s="40" t="str">
        <x:f>IF($D194="","",IFERROR(INDEX(Lotes!$B$5:$B$204,MATCH($D194,Lotes!$A$5:$A$204,0)),""))</x:f>
      </x:c>
      <x:c r="F194" s="40" t="str">
        <x:f>IF($D194="","",IFERROR(INDEX(Lotes!$C$5:$C$204,MATCH($D194,Lotes!$A$5:$A$204,0)),""))</x:f>
      </x:c>
      <x:c r="G194" s="27"/>
      <x:c r="H194" s="40" t="str">
        <x:f>IF(A194="","",IF(O194&lt;&gt;"","n.a.",IF(OR(C194="Saída",C194="Perda",C194="Ajuste negativo"),-G194,G194)))</x:f>
      </x:c>
      <x:c r="I194" s="181" t="str">
        <x:f>IF($D194="","",IFERROR(INDEX(Lotes!$K$5:$K$204,MATCH($D194,Lotes!$A$5:$A$204,0)),0))</x:f>
      </x:c>
      <x:c r="J194" s="181" t="str">
        <x:f>IF(A194="","",IF(O194&lt;&gt;"","n.a.",ABS(H194)*I194))</x:f>
      </x:c>
      <x:c r="K194" s="27"/>
      <x:c r="L194" s="27"/>
      <x:c r="M194" s="27"/>
      <x:c r="N194" s="27"/>
      <x:c r="O194" s="163" t="str">
        <x:f>IF(COUNTA(A194:D194,G194,K194:N194)=0,"",IF(OR(A194="",COUNTIFS($A$5:$A$304,A194)&lt;&gt;1),"ID ausente ou duplicado",IF(OR(NOT(ISNUMBER(B194)),B194&lt;=0),"Data ausente ou inválida",IF(AND(C194&lt;&gt;"Entrada",C194&lt;&gt;"Saída",C194&lt;&gt;"Perda",C194&lt;&gt;"Ajuste positivo",C194&lt;&gt;"Ajuste negativo"),"Tipo de movimento inválido",IF(OR(D194="",COUNTIFS(Lotes!$A$5:$A$204,D194)&lt;&gt;1),"Lote ausente ou desconhecido",IF(COUNTIFS(Lotes!$A$5:$A$204,D194,Lotes!$S$5:$S$204,"?*")&gt;0,"Revisar cadastro do lote",IF(B194&lt;INDEX(Lotes!$E$5:$E$204,MATCH(D194,Lotes!$A$5:$A$204,0)),"Movimento anterior ao recebimento",IF(OR(NOT(ISNUMBER(G194)),G194&lt;=0),"Quantidade ausente ou inválida",""))))))))</x:f>
      </x:c>
      <x:c r="P194" s="163" t="n">
        <x:f>IF(O194="",0,1)</x:f>
        <x:v>0</x:v>
      </x:c>
      <x:c r="Q194" s="163" t="n">
        <x:f>IF(COUNTA(A194:D194,G194,K194:N194)=0,0,IF(OR(Listas!$B$19="Todos",E194=Listas!$B$19,E194="",COUNTIFS(Lotes!$A$5:$A$204,D194)&lt;&gt;1),1,0))</x:f>
        <x:v>0</x:v>
      </x:c>
      <x:c r="R194" s="1"/>
      <x:c r="S194" s="1"/>
      <x:c r="T194" s="1"/>
      <x:c r="U194" s="1"/>
      <x:c r="V194" s="1"/>
      <x:c r="W194" s="1"/>
    </x:row>
    <x:row r="195" ht="32" customHeight="1">
      <x:c r="A195" s="170"/>
      <x:c r="B195" s="179"/>
      <x:c r="C195" s="170"/>
      <x:c r="D195" s="170"/>
      <x:c r="E195" s="40" t="str">
        <x:f>IF($D195="","",IFERROR(INDEX(Lotes!$B$5:$B$204,MATCH($D195,Lotes!$A$5:$A$204,0)),""))</x:f>
      </x:c>
      <x:c r="F195" s="40" t="str">
        <x:f>IF($D195="","",IFERROR(INDEX(Lotes!$C$5:$C$204,MATCH($D195,Lotes!$A$5:$A$204,0)),""))</x:f>
      </x:c>
      <x:c r="G195" s="27"/>
      <x:c r="H195" s="40" t="str">
        <x:f>IF(A195="","",IF(O195&lt;&gt;"","n.a.",IF(OR(C195="Saída",C195="Perda",C195="Ajuste negativo"),-G195,G195)))</x:f>
      </x:c>
      <x:c r="I195" s="181" t="str">
        <x:f>IF($D195="","",IFERROR(INDEX(Lotes!$K$5:$K$204,MATCH($D195,Lotes!$A$5:$A$204,0)),0))</x:f>
      </x:c>
      <x:c r="J195" s="181" t="str">
        <x:f>IF(A195="","",IF(O195&lt;&gt;"","n.a.",ABS(H195)*I195))</x:f>
      </x:c>
      <x:c r="K195" s="27"/>
      <x:c r="L195" s="27"/>
      <x:c r="M195" s="27"/>
      <x:c r="N195" s="27"/>
      <x:c r="O195" s="163" t="str">
        <x:f>IF(COUNTA(A195:D195,G195,K195:N195)=0,"",IF(OR(A195="",COUNTIFS($A$5:$A$304,A195)&lt;&gt;1),"ID ausente ou duplicado",IF(OR(NOT(ISNUMBER(B195)),B195&lt;=0),"Data ausente ou inválida",IF(AND(C195&lt;&gt;"Entrada",C195&lt;&gt;"Saída",C195&lt;&gt;"Perda",C195&lt;&gt;"Ajuste positivo",C195&lt;&gt;"Ajuste negativo"),"Tipo de movimento inválido",IF(OR(D195="",COUNTIFS(Lotes!$A$5:$A$204,D195)&lt;&gt;1),"Lote ausente ou desconhecido",IF(COUNTIFS(Lotes!$A$5:$A$204,D195,Lotes!$S$5:$S$204,"?*")&gt;0,"Revisar cadastro do lote",IF(B195&lt;INDEX(Lotes!$E$5:$E$204,MATCH(D195,Lotes!$A$5:$A$204,0)),"Movimento anterior ao recebimento",IF(OR(NOT(ISNUMBER(G195)),G195&lt;=0),"Quantidade ausente ou inválida",""))))))))</x:f>
      </x:c>
      <x:c r="P195" s="163" t="n">
        <x:f>IF(O195="",0,1)</x:f>
        <x:v>0</x:v>
      </x:c>
      <x:c r="Q195" s="163" t="n">
        <x:f>IF(COUNTA(A195:D195,G195,K195:N195)=0,0,IF(OR(Listas!$B$19="Todos",E195=Listas!$B$19,E195="",COUNTIFS(Lotes!$A$5:$A$204,D195)&lt;&gt;1),1,0))</x:f>
        <x:v>0</x:v>
      </x:c>
      <x:c r="R195" s="1"/>
      <x:c r="S195" s="1"/>
      <x:c r="T195" s="1"/>
      <x:c r="U195" s="1"/>
      <x:c r="V195" s="1"/>
      <x:c r="W195" s="1"/>
    </x:row>
    <x:row r="196" ht="32" customHeight="1">
      <x:c r="A196" s="170"/>
      <x:c r="B196" s="179"/>
      <x:c r="C196" s="170"/>
      <x:c r="D196" s="170"/>
      <x:c r="E196" s="40" t="str">
        <x:f>IF($D196="","",IFERROR(INDEX(Lotes!$B$5:$B$204,MATCH($D196,Lotes!$A$5:$A$204,0)),""))</x:f>
      </x:c>
      <x:c r="F196" s="40" t="str">
        <x:f>IF($D196="","",IFERROR(INDEX(Lotes!$C$5:$C$204,MATCH($D196,Lotes!$A$5:$A$204,0)),""))</x:f>
      </x:c>
      <x:c r="G196" s="27"/>
      <x:c r="H196" s="40" t="str">
        <x:f>IF(A196="","",IF(O196&lt;&gt;"","n.a.",IF(OR(C196="Saída",C196="Perda",C196="Ajuste negativo"),-G196,G196)))</x:f>
      </x:c>
      <x:c r="I196" s="181" t="str">
        <x:f>IF($D196="","",IFERROR(INDEX(Lotes!$K$5:$K$204,MATCH($D196,Lotes!$A$5:$A$204,0)),0))</x:f>
      </x:c>
      <x:c r="J196" s="181" t="str">
        <x:f>IF(A196="","",IF(O196&lt;&gt;"","n.a.",ABS(H196)*I196))</x:f>
      </x:c>
      <x:c r="K196" s="27"/>
      <x:c r="L196" s="27"/>
      <x:c r="M196" s="27"/>
      <x:c r="N196" s="27"/>
      <x:c r="O196" s="163" t="str">
        <x:f>IF(COUNTA(A196:D196,G196,K196:N196)=0,"",IF(OR(A196="",COUNTIFS($A$5:$A$304,A196)&lt;&gt;1),"ID ausente ou duplicado",IF(OR(NOT(ISNUMBER(B196)),B196&lt;=0),"Data ausente ou inválida",IF(AND(C196&lt;&gt;"Entrada",C196&lt;&gt;"Saída",C196&lt;&gt;"Perda",C196&lt;&gt;"Ajuste positivo",C196&lt;&gt;"Ajuste negativo"),"Tipo de movimento inválido",IF(OR(D196="",COUNTIFS(Lotes!$A$5:$A$204,D196)&lt;&gt;1),"Lote ausente ou desconhecido",IF(COUNTIFS(Lotes!$A$5:$A$204,D196,Lotes!$S$5:$S$204,"?*")&gt;0,"Revisar cadastro do lote",IF(B196&lt;INDEX(Lotes!$E$5:$E$204,MATCH(D196,Lotes!$A$5:$A$204,0)),"Movimento anterior ao recebimento",IF(OR(NOT(ISNUMBER(G196)),G196&lt;=0),"Quantidade ausente ou inválida",""))))))))</x:f>
      </x:c>
      <x:c r="P196" s="163" t="n">
        <x:f>IF(O196="",0,1)</x:f>
        <x:v>0</x:v>
      </x:c>
      <x:c r="Q196" s="163" t="n">
        <x:f>IF(COUNTA(A196:D196,G196,K196:N196)=0,0,IF(OR(Listas!$B$19="Todos",E196=Listas!$B$19,E196="",COUNTIFS(Lotes!$A$5:$A$204,D196)&lt;&gt;1),1,0))</x:f>
        <x:v>0</x:v>
      </x:c>
      <x:c r="R196" s="1"/>
      <x:c r="S196" s="1"/>
      <x:c r="T196" s="1"/>
      <x:c r="U196" s="1"/>
      <x:c r="V196" s="1"/>
      <x:c r="W196" s="1"/>
    </x:row>
    <x:row r="197" ht="32" customHeight="1">
      <x:c r="A197" s="170"/>
      <x:c r="B197" s="179"/>
      <x:c r="C197" s="170"/>
      <x:c r="D197" s="170"/>
      <x:c r="E197" s="40" t="str">
        <x:f>IF($D197="","",IFERROR(INDEX(Lotes!$B$5:$B$204,MATCH($D197,Lotes!$A$5:$A$204,0)),""))</x:f>
      </x:c>
      <x:c r="F197" s="40" t="str">
        <x:f>IF($D197="","",IFERROR(INDEX(Lotes!$C$5:$C$204,MATCH($D197,Lotes!$A$5:$A$204,0)),""))</x:f>
      </x:c>
      <x:c r="G197" s="27"/>
      <x:c r="H197" s="40" t="str">
        <x:f>IF(A197="","",IF(O197&lt;&gt;"","n.a.",IF(OR(C197="Saída",C197="Perda",C197="Ajuste negativo"),-G197,G197)))</x:f>
      </x:c>
      <x:c r="I197" s="181" t="str">
        <x:f>IF($D197="","",IFERROR(INDEX(Lotes!$K$5:$K$204,MATCH($D197,Lotes!$A$5:$A$204,0)),0))</x:f>
      </x:c>
      <x:c r="J197" s="181" t="str">
        <x:f>IF(A197="","",IF(O197&lt;&gt;"","n.a.",ABS(H197)*I197))</x:f>
      </x:c>
      <x:c r="K197" s="27"/>
      <x:c r="L197" s="27"/>
      <x:c r="M197" s="27"/>
      <x:c r="N197" s="27"/>
      <x:c r="O197" s="163" t="str">
        <x:f>IF(COUNTA(A197:D197,G197,K197:N197)=0,"",IF(OR(A197="",COUNTIFS($A$5:$A$304,A197)&lt;&gt;1),"ID ausente ou duplicado",IF(OR(NOT(ISNUMBER(B197)),B197&lt;=0),"Data ausente ou inválida",IF(AND(C197&lt;&gt;"Entrada",C197&lt;&gt;"Saída",C197&lt;&gt;"Perda",C197&lt;&gt;"Ajuste positivo",C197&lt;&gt;"Ajuste negativo"),"Tipo de movimento inválido",IF(OR(D197="",COUNTIFS(Lotes!$A$5:$A$204,D197)&lt;&gt;1),"Lote ausente ou desconhecido",IF(COUNTIFS(Lotes!$A$5:$A$204,D197,Lotes!$S$5:$S$204,"?*")&gt;0,"Revisar cadastro do lote",IF(B197&lt;INDEX(Lotes!$E$5:$E$204,MATCH(D197,Lotes!$A$5:$A$204,0)),"Movimento anterior ao recebimento",IF(OR(NOT(ISNUMBER(G197)),G197&lt;=0),"Quantidade ausente ou inválida",""))))))))</x:f>
      </x:c>
      <x:c r="P197" s="163" t="n">
        <x:f>IF(O197="",0,1)</x:f>
        <x:v>0</x:v>
      </x:c>
      <x:c r="Q197" s="163" t="n">
        <x:f>IF(COUNTA(A197:D197,G197,K197:N197)=0,0,IF(OR(Listas!$B$19="Todos",E197=Listas!$B$19,E197="",COUNTIFS(Lotes!$A$5:$A$204,D197)&lt;&gt;1),1,0))</x:f>
        <x:v>0</x:v>
      </x:c>
      <x:c r="R197" s="1"/>
      <x:c r="S197" s="1"/>
      <x:c r="T197" s="1"/>
      <x:c r="U197" s="1"/>
      <x:c r="V197" s="1"/>
      <x:c r="W197" s="1"/>
    </x:row>
    <x:row r="198" ht="32" customHeight="1">
      <x:c r="A198" s="170"/>
      <x:c r="B198" s="179"/>
      <x:c r="C198" s="170"/>
      <x:c r="D198" s="170"/>
      <x:c r="E198" s="40" t="str">
        <x:f>IF($D198="","",IFERROR(INDEX(Lotes!$B$5:$B$204,MATCH($D198,Lotes!$A$5:$A$204,0)),""))</x:f>
      </x:c>
      <x:c r="F198" s="40" t="str">
        <x:f>IF($D198="","",IFERROR(INDEX(Lotes!$C$5:$C$204,MATCH($D198,Lotes!$A$5:$A$204,0)),""))</x:f>
      </x:c>
      <x:c r="G198" s="27"/>
      <x:c r="H198" s="40" t="str">
        <x:f>IF(A198="","",IF(O198&lt;&gt;"","n.a.",IF(OR(C198="Saída",C198="Perda",C198="Ajuste negativo"),-G198,G198)))</x:f>
      </x:c>
      <x:c r="I198" s="181" t="str">
        <x:f>IF($D198="","",IFERROR(INDEX(Lotes!$K$5:$K$204,MATCH($D198,Lotes!$A$5:$A$204,0)),0))</x:f>
      </x:c>
      <x:c r="J198" s="181" t="str">
        <x:f>IF(A198="","",IF(O198&lt;&gt;"","n.a.",ABS(H198)*I198))</x:f>
      </x:c>
      <x:c r="K198" s="27"/>
      <x:c r="L198" s="27"/>
      <x:c r="M198" s="27"/>
      <x:c r="N198" s="27"/>
      <x:c r="O198" s="163" t="str">
        <x:f>IF(COUNTA(A198:D198,G198,K198:N198)=0,"",IF(OR(A198="",COUNTIFS($A$5:$A$304,A198)&lt;&gt;1),"ID ausente ou duplicado",IF(OR(NOT(ISNUMBER(B198)),B198&lt;=0),"Data ausente ou inválida",IF(AND(C198&lt;&gt;"Entrada",C198&lt;&gt;"Saída",C198&lt;&gt;"Perda",C198&lt;&gt;"Ajuste positivo",C198&lt;&gt;"Ajuste negativo"),"Tipo de movimento inválido",IF(OR(D198="",COUNTIFS(Lotes!$A$5:$A$204,D198)&lt;&gt;1),"Lote ausente ou desconhecido",IF(COUNTIFS(Lotes!$A$5:$A$204,D198,Lotes!$S$5:$S$204,"?*")&gt;0,"Revisar cadastro do lote",IF(B198&lt;INDEX(Lotes!$E$5:$E$204,MATCH(D198,Lotes!$A$5:$A$204,0)),"Movimento anterior ao recebimento",IF(OR(NOT(ISNUMBER(G198)),G198&lt;=0),"Quantidade ausente ou inválida",""))))))))</x:f>
      </x:c>
      <x:c r="P198" s="163" t="n">
        <x:f>IF(O198="",0,1)</x:f>
        <x:v>0</x:v>
      </x:c>
      <x:c r="Q198" s="163" t="n">
        <x:f>IF(COUNTA(A198:D198,G198,K198:N198)=0,0,IF(OR(Listas!$B$19="Todos",E198=Listas!$B$19,E198="",COUNTIFS(Lotes!$A$5:$A$204,D198)&lt;&gt;1),1,0))</x:f>
        <x:v>0</x:v>
      </x:c>
      <x:c r="R198" s="1"/>
      <x:c r="S198" s="1"/>
      <x:c r="T198" s="1"/>
      <x:c r="U198" s="1"/>
      <x:c r="V198" s="1"/>
      <x:c r="W198" s="1"/>
    </x:row>
    <x:row r="199" ht="32" customHeight="1">
      <x:c r="A199" s="170"/>
      <x:c r="B199" s="179"/>
      <x:c r="C199" s="170"/>
      <x:c r="D199" s="170"/>
      <x:c r="E199" s="40" t="str">
        <x:f>IF($D199="","",IFERROR(INDEX(Lotes!$B$5:$B$204,MATCH($D199,Lotes!$A$5:$A$204,0)),""))</x:f>
      </x:c>
      <x:c r="F199" s="40" t="str">
        <x:f>IF($D199="","",IFERROR(INDEX(Lotes!$C$5:$C$204,MATCH($D199,Lotes!$A$5:$A$204,0)),""))</x:f>
      </x:c>
      <x:c r="G199" s="27"/>
      <x:c r="H199" s="40" t="str">
        <x:f>IF(A199="","",IF(O199&lt;&gt;"","n.a.",IF(OR(C199="Saída",C199="Perda",C199="Ajuste negativo"),-G199,G199)))</x:f>
      </x:c>
      <x:c r="I199" s="181" t="str">
        <x:f>IF($D199="","",IFERROR(INDEX(Lotes!$K$5:$K$204,MATCH($D199,Lotes!$A$5:$A$204,0)),0))</x:f>
      </x:c>
      <x:c r="J199" s="181" t="str">
        <x:f>IF(A199="","",IF(O199&lt;&gt;"","n.a.",ABS(H199)*I199))</x:f>
      </x:c>
      <x:c r="K199" s="27"/>
      <x:c r="L199" s="27"/>
      <x:c r="M199" s="27"/>
      <x:c r="N199" s="27"/>
      <x:c r="O199" s="163" t="str">
        <x:f>IF(COUNTA(A199:D199,G199,K199:N199)=0,"",IF(OR(A199="",COUNTIFS($A$5:$A$304,A199)&lt;&gt;1),"ID ausente ou duplicado",IF(OR(NOT(ISNUMBER(B199)),B199&lt;=0),"Data ausente ou inválida",IF(AND(C199&lt;&gt;"Entrada",C199&lt;&gt;"Saída",C199&lt;&gt;"Perda",C199&lt;&gt;"Ajuste positivo",C199&lt;&gt;"Ajuste negativo"),"Tipo de movimento inválido",IF(OR(D199="",COUNTIFS(Lotes!$A$5:$A$204,D199)&lt;&gt;1),"Lote ausente ou desconhecido",IF(COUNTIFS(Lotes!$A$5:$A$204,D199,Lotes!$S$5:$S$204,"?*")&gt;0,"Revisar cadastro do lote",IF(B199&lt;INDEX(Lotes!$E$5:$E$204,MATCH(D199,Lotes!$A$5:$A$204,0)),"Movimento anterior ao recebimento",IF(OR(NOT(ISNUMBER(G199)),G199&lt;=0),"Quantidade ausente ou inválida",""))))))))</x:f>
      </x:c>
      <x:c r="P199" s="163" t="n">
        <x:f>IF(O199="",0,1)</x:f>
        <x:v>0</x:v>
      </x:c>
      <x:c r="Q199" s="163" t="n">
        <x:f>IF(COUNTA(A199:D199,G199,K199:N199)=0,0,IF(OR(Listas!$B$19="Todos",E199=Listas!$B$19,E199="",COUNTIFS(Lotes!$A$5:$A$204,D199)&lt;&gt;1),1,0))</x:f>
        <x:v>0</x:v>
      </x:c>
      <x:c r="R199" s="1"/>
      <x:c r="S199" s="1"/>
      <x:c r="T199" s="1"/>
      <x:c r="U199" s="1"/>
      <x:c r="V199" s="1"/>
      <x:c r="W199" s="1"/>
    </x:row>
    <x:row r="200" ht="32" customHeight="1">
      <x:c r="A200" s="170"/>
      <x:c r="B200" s="179"/>
      <x:c r="C200" s="170"/>
      <x:c r="D200" s="170"/>
      <x:c r="E200" s="40" t="str">
        <x:f>IF($D200="","",IFERROR(INDEX(Lotes!$B$5:$B$204,MATCH($D200,Lotes!$A$5:$A$204,0)),""))</x:f>
      </x:c>
      <x:c r="F200" s="40" t="str">
        <x:f>IF($D200="","",IFERROR(INDEX(Lotes!$C$5:$C$204,MATCH($D200,Lotes!$A$5:$A$204,0)),""))</x:f>
      </x:c>
      <x:c r="G200" s="27"/>
      <x:c r="H200" s="40" t="str">
        <x:f>IF(A200="","",IF(O200&lt;&gt;"","n.a.",IF(OR(C200="Saída",C200="Perda",C200="Ajuste negativo"),-G200,G200)))</x:f>
      </x:c>
      <x:c r="I200" s="181" t="str">
        <x:f>IF($D200="","",IFERROR(INDEX(Lotes!$K$5:$K$204,MATCH($D200,Lotes!$A$5:$A$204,0)),0))</x:f>
      </x:c>
      <x:c r="J200" s="181" t="str">
        <x:f>IF(A200="","",IF(O200&lt;&gt;"","n.a.",ABS(H200)*I200))</x:f>
      </x:c>
      <x:c r="K200" s="27"/>
      <x:c r="L200" s="27"/>
      <x:c r="M200" s="27"/>
      <x:c r="N200" s="27"/>
      <x:c r="O200" s="163" t="str">
        <x:f>IF(COUNTA(A200:D200,G200,K200:N200)=0,"",IF(OR(A200="",COUNTIFS($A$5:$A$304,A200)&lt;&gt;1),"ID ausente ou duplicado",IF(OR(NOT(ISNUMBER(B200)),B200&lt;=0),"Data ausente ou inválida",IF(AND(C200&lt;&gt;"Entrada",C200&lt;&gt;"Saída",C200&lt;&gt;"Perda",C200&lt;&gt;"Ajuste positivo",C200&lt;&gt;"Ajuste negativo"),"Tipo de movimento inválido",IF(OR(D200="",COUNTIFS(Lotes!$A$5:$A$204,D200)&lt;&gt;1),"Lote ausente ou desconhecido",IF(COUNTIFS(Lotes!$A$5:$A$204,D200,Lotes!$S$5:$S$204,"?*")&gt;0,"Revisar cadastro do lote",IF(B200&lt;INDEX(Lotes!$E$5:$E$204,MATCH(D200,Lotes!$A$5:$A$204,0)),"Movimento anterior ao recebimento",IF(OR(NOT(ISNUMBER(G200)),G200&lt;=0),"Quantidade ausente ou inválida",""))))))))</x:f>
      </x:c>
      <x:c r="P200" s="163" t="n">
        <x:f>IF(O200="",0,1)</x:f>
        <x:v>0</x:v>
      </x:c>
      <x:c r="Q200" s="163" t="n">
        <x:f>IF(COUNTA(A200:D200,G200,K200:N200)=0,0,IF(OR(Listas!$B$19="Todos",E200=Listas!$B$19,E200="",COUNTIFS(Lotes!$A$5:$A$204,D200)&lt;&gt;1),1,0))</x:f>
        <x:v>0</x:v>
      </x:c>
      <x:c r="R200" s="1"/>
      <x:c r="S200" s="1"/>
      <x:c r="T200" s="1"/>
      <x:c r="U200" s="1"/>
      <x:c r="V200" s="1"/>
      <x:c r="W200" s="1"/>
    </x:row>
    <x:row r="201" ht="32" customHeight="1">
      <x:c r="A201" s="170"/>
      <x:c r="B201" s="179"/>
      <x:c r="C201" s="170"/>
      <x:c r="D201" s="170"/>
      <x:c r="E201" s="40" t="str">
        <x:f>IF($D201="","",IFERROR(INDEX(Lotes!$B$5:$B$204,MATCH($D201,Lotes!$A$5:$A$204,0)),""))</x:f>
      </x:c>
      <x:c r="F201" s="40" t="str">
        <x:f>IF($D201="","",IFERROR(INDEX(Lotes!$C$5:$C$204,MATCH($D201,Lotes!$A$5:$A$204,0)),""))</x:f>
      </x:c>
      <x:c r="G201" s="27"/>
      <x:c r="H201" s="40" t="str">
        <x:f>IF(A201="","",IF(O201&lt;&gt;"","n.a.",IF(OR(C201="Saída",C201="Perda",C201="Ajuste negativo"),-G201,G201)))</x:f>
      </x:c>
      <x:c r="I201" s="181" t="str">
        <x:f>IF($D201="","",IFERROR(INDEX(Lotes!$K$5:$K$204,MATCH($D201,Lotes!$A$5:$A$204,0)),0))</x:f>
      </x:c>
      <x:c r="J201" s="181" t="str">
        <x:f>IF(A201="","",IF(O201&lt;&gt;"","n.a.",ABS(H201)*I201))</x:f>
      </x:c>
      <x:c r="K201" s="27"/>
      <x:c r="L201" s="27"/>
      <x:c r="M201" s="27"/>
      <x:c r="N201" s="27"/>
      <x:c r="O201" s="163" t="str">
        <x:f>IF(COUNTA(A201:D201,G201,K201:N201)=0,"",IF(OR(A201="",COUNTIFS($A$5:$A$304,A201)&lt;&gt;1),"ID ausente ou duplicado",IF(OR(NOT(ISNUMBER(B201)),B201&lt;=0),"Data ausente ou inválida",IF(AND(C201&lt;&gt;"Entrada",C201&lt;&gt;"Saída",C201&lt;&gt;"Perda",C201&lt;&gt;"Ajuste positivo",C201&lt;&gt;"Ajuste negativo"),"Tipo de movimento inválido",IF(OR(D201="",COUNTIFS(Lotes!$A$5:$A$204,D201)&lt;&gt;1),"Lote ausente ou desconhecido",IF(COUNTIFS(Lotes!$A$5:$A$204,D201,Lotes!$S$5:$S$204,"?*")&gt;0,"Revisar cadastro do lote",IF(B201&lt;INDEX(Lotes!$E$5:$E$204,MATCH(D201,Lotes!$A$5:$A$204,0)),"Movimento anterior ao recebimento",IF(OR(NOT(ISNUMBER(G201)),G201&lt;=0),"Quantidade ausente ou inválida",""))))))))</x:f>
      </x:c>
      <x:c r="P201" s="163" t="n">
        <x:f>IF(O201="",0,1)</x:f>
        <x:v>0</x:v>
      </x:c>
      <x:c r="Q201" s="163" t="n">
        <x:f>IF(COUNTA(A201:D201,G201,K201:N201)=0,0,IF(OR(Listas!$B$19="Todos",E201=Listas!$B$19,E201="",COUNTIFS(Lotes!$A$5:$A$204,D201)&lt;&gt;1),1,0))</x:f>
        <x:v>0</x:v>
      </x:c>
      <x:c r="R201" s="1"/>
      <x:c r="S201" s="1"/>
      <x:c r="T201" s="1"/>
      <x:c r="U201" s="1"/>
      <x:c r="V201" s="1"/>
      <x:c r="W201" s="1"/>
    </x:row>
    <x:row r="202" ht="32" customHeight="1">
      <x:c r="A202" s="170"/>
      <x:c r="B202" s="179"/>
      <x:c r="C202" s="170"/>
      <x:c r="D202" s="170"/>
      <x:c r="E202" s="40" t="str">
        <x:f>IF($D202="","",IFERROR(INDEX(Lotes!$B$5:$B$204,MATCH($D202,Lotes!$A$5:$A$204,0)),""))</x:f>
      </x:c>
      <x:c r="F202" s="40" t="str">
        <x:f>IF($D202="","",IFERROR(INDEX(Lotes!$C$5:$C$204,MATCH($D202,Lotes!$A$5:$A$204,0)),""))</x:f>
      </x:c>
      <x:c r="G202" s="27"/>
      <x:c r="H202" s="40" t="str">
        <x:f>IF(A202="","",IF(O202&lt;&gt;"","n.a.",IF(OR(C202="Saída",C202="Perda",C202="Ajuste negativo"),-G202,G202)))</x:f>
      </x:c>
      <x:c r="I202" s="181" t="str">
        <x:f>IF($D202="","",IFERROR(INDEX(Lotes!$K$5:$K$204,MATCH($D202,Lotes!$A$5:$A$204,0)),0))</x:f>
      </x:c>
      <x:c r="J202" s="181" t="str">
        <x:f>IF(A202="","",IF(O202&lt;&gt;"","n.a.",ABS(H202)*I202))</x:f>
      </x:c>
      <x:c r="K202" s="27"/>
      <x:c r="L202" s="27"/>
      <x:c r="M202" s="27"/>
      <x:c r="N202" s="27"/>
      <x:c r="O202" s="163" t="str">
        <x:f>IF(COUNTA(A202:D202,G202,K202:N202)=0,"",IF(OR(A202="",COUNTIFS($A$5:$A$304,A202)&lt;&gt;1),"ID ausente ou duplicado",IF(OR(NOT(ISNUMBER(B202)),B202&lt;=0),"Data ausente ou inválida",IF(AND(C202&lt;&gt;"Entrada",C202&lt;&gt;"Saída",C202&lt;&gt;"Perda",C202&lt;&gt;"Ajuste positivo",C202&lt;&gt;"Ajuste negativo"),"Tipo de movimento inválido",IF(OR(D202="",COUNTIFS(Lotes!$A$5:$A$204,D202)&lt;&gt;1),"Lote ausente ou desconhecido",IF(COUNTIFS(Lotes!$A$5:$A$204,D202,Lotes!$S$5:$S$204,"?*")&gt;0,"Revisar cadastro do lote",IF(B202&lt;INDEX(Lotes!$E$5:$E$204,MATCH(D202,Lotes!$A$5:$A$204,0)),"Movimento anterior ao recebimento",IF(OR(NOT(ISNUMBER(G202)),G202&lt;=0),"Quantidade ausente ou inválida",""))))))))</x:f>
      </x:c>
      <x:c r="P202" s="163" t="n">
        <x:f>IF(O202="",0,1)</x:f>
        <x:v>0</x:v>
      </x:c>
      <x:c r="Q202" s="163" t="n">
        <x:f>IF(COUNTA(A202:D202,G202,K202:N202)=0,0,IF(OR(Listas!$B$19="Todos",E202=Listas!$B$19,E202="",COUNTIFS(Lotes!$A$5:$A$204,D202)&lt;&gt;1),1,0))</x:f>
        <x:v>0</x:v>
      </x:c>
      <x:c r="R202" s="1"/>
      <x:c r="S202" s="1"/>
      <x:c r="T202" s="1"/>
      <x:c r="U202" s="1"/>
      <x:c r="V202" s="1"/>
      <x:c r="W202" s="1"/>
    </x:row>
    <x:row r="203" ht="32" customHeight="1">
      <x:c r="A203" s="170"/>
      <x:c r="B203" s="179"/>
      <x:c r="C203" s="170"/>
      <x:c r="D203" s="170"/>
      <x:c r="E203" s="40" t="str">
        <x:f>IF($D203="","",IFERROR(INDEX(Lotes!$B$5:$B$204,MATCH($D203,Lotes!$A$5:$A$204,0)),""))</x:f>
      </x:c>
      <x:c r="F203" s="40" t="str">
        <x:f>IF($D203="","",IFERROR(INDEX(Lotes!$C$5:$C$204,MATCH($D203,Lotes!$A$5:$A$204,0)),""))</x:f>
      </x:c>
      <x:c r="G203" s="27"/>
      <x:c r="H203" s="40" t="str">
        <x:f>IF(A203="","",IF(O203&lt;&gt;"","n.a.",IF(OR(C203="Saída",C203="Perda",C203="Ajuste negativo"),-G203,G203)))</x:f>
      </x:c>
      <x:c r="I203" s="181" t="str">
        <x:f>IF($D203="","",IFERROR(INDEX(Lotes!$K$5:$K$204,MATCH($D203,Lotes!$A$5:$A$204,0)),0))</x:f>
      </x:c>
      <x:c r="J203" s="181" t="str">
        <x:f>IF(A203="","",IF(O203&lt;&gt;"","n.a.",ABS(H203)*I203))</x:f>
      </x:c>
      <x:c r="K203" s="27"/>
      <x:c r="L203" s="27"/>
      <x:c r="M203" s="27"/>
      <x:c r="N203" s="27"/>
      <x:c r="O203" s="163" t="str">
        <x:f>IF(COUNTA(A203:D203,G203,K203:N203)=0,"",IF(OR(A203="",COUNTIFS($A$5:$A$304,A203)&lt;&gt;1),"ID ausente ou duplicado",IF(OR(NOT(ISNUMBER(B203)),B203&lt;=0),"Data ausente ou inválida",IF(AND(C203&lt;&gt;"Entrada",C203&lt;&gt;"Saída",C203&lt;&gt;"Perda",C203&lt;&gt;"Ajuste positivo",C203&lt;&gt;"Ajuste negativo"),"Tipo de movimento inválido",IF(OR(D203="",COUNTIFS(Lotes!$A$5:$A$204,D203)&lt;&gt;1),"Lote ausente ou desconhecido",IF(COUNTIFS(Lotes!$A$5:$A$204,D203,Lotes!$S$5:$S$204,"?*")&gt;0,"Revisar cadastro do lote",IF(B203&lt;INDEX(Lotes!$E$5:$E$204,MATCH(D203,Lotes!$A$5:$A$204,0)),"Movimento anterior ao recebimento",IF(OR(NOT(ISNUMBER(G203)),G203&lt;=0),"Quantidade ausente ou inválida",""))))))))</x:f>
      </x:c>
      <x:c r="P203" s="163" t="n">
        <x:f>IF(O203="",0,1)</x:f>
        <x:v>0</x:v>
      </x:c>
      <x:c r="Q203" s="163" t="n">
        <x:f>IF(COUNTA(A203:D203,G203,K203:N203)=0,0,IF(OR(Listas!$B$19="Todos",E203=Listas!$B$19,E203="",COUNTIFS(Lotes!$A$5:$A$204,D203)&lt;&gt;1),1,0))</x:f>
        <x:v>0</x:v>
      </x:c>
      <x:c r="R203" s="1"/>
      <x:c r="S203" s="1"/>
      <x:c r="T203" s="1"/>
      <x:c r="U203" s="1"/>
      <x:c r="V203" s="1"/>
      <x:c r="W203" s="1"/>
    </x:row>
    <x:row r="204" ht="32" customHeight="1">
      <x:c r="A204" s="170"/>
      <x:c r="B204" s="179"/>
      <x:c r="C204" s="170"/>
      <x:c r="D204" s="170"/>
      <x:c r="E204" s="40" t="str">
        <x:f>IF($D204="","",IFERROR(INDEX(Lotes!$B$5:$B$204,MATCH($D204,Lotes!$A$5:$A$204,0)),""))</x:f>
      </x:c>
      <x:c r="F204" s="40" t="str">
        <x:f>IF($D204="","",IFERROR(INDEX(Lotes!$C$5:$C$204,MATCH($D204,Lotes!$A$5:$A$204,0)),""))</x:f>
      </x:c>
      <x:c r="G204" s="27"/>
      <x:c r="H204" s="40" t="str">
        <x:f>IF(A204="","",IF(O204&lt;&gt;"","n.a.",IF(OR(C204="Saída",C204="Perda",C204="Ajuste negativo"),-G204,G204)))</x:f>
      </x:c>
      <x:c r="I204" s="181" t="str">
        <x:f>IF($D204="","",IFERROR(INDEX(Lotes!$K$5:$K$204,MATCH($D204,Lotes!$A$5:$A$204,0)),0))</x:f>
      </x:c>
      <x:c r="J204" s="181" t="str">
        <x:f>IF(A204="","",IF(O204&lt;&gt;"","n.a.",ABS(H204)*I204))</x:f>
      </x:c>
      <x:c r="K204" s="27"/>
      <x:c r="L204" s="27"/>
      <x:c r="M204" s="27"/>
      <x:c r="N204" s="27"/>
      <x:c r="O204" s="163" t="str">
        <x:f>IF(COUNTA(A204:D204,G204,K204:N204)=0,"",IF(OR(A204="",COUNTIFS($A$5:$A$304,A204)&lt;&gt;1),"ID ausente ou duplicado",IF(OR(NOT(ISNUMBER(B204)),B204&lt;=0),"Data ausente ou inválida",IF(AND(C204&lt;&gt;"Entrada",C204&lt;&gt;"Saída",C204&lt;&gt;"Perda",C204&lt;&gt;"Ajuste positivo",C204&lt;&gt;"Ajuste negativo"),"Tipo de movimento inválido",IF(OR(D204="",COUNTIFS(Lotes!$A$5:$A$204,D204)&lt;&gt;1),"Lote ausente ou desconhecido",IF(COUNTIFS(Lotes!$A$5:$A$204,D204,Lotes!$S$5:$S$204,"?*")&gt;0,"Revisar cadastro do lote",IF(B204&lt;INDEX(Lotes!$E$5:$E$204,MATCH(D204,Lotes!$A$5:$A$204,0)),"Movimento anterior ao recebimento",IF(OR(NOT(ISNUMBER(G204)),G204&lt;=0),"Quantidade ausente ou inválida",""))))))))</x:f>
      </x:c>
      <x:c r="P204" s="163" t="n">
        <x:f>IF(O204="",0,1)</x:f>
        <x:v>0</x:v>
      </x:c>
      <x:c r="Q204" s="163" t="n">
        <x:f>IF(COUNTA(A204:D204,G204,K204:N204)=0,0,IF(OR(Listas!$B$19="Todos",E204=Listas!$B$19,E204="",COUNTIFS(Lotes!$A$5:$A$204,D204)&lt;&gt;1),1,0))</x:f>
        <x:v>0</x:v>
      </x:c>
      <x:c r="R204" s="1"/>
      <x:c r="S204" s="1"/>
      <x:c r="T204" s="1"/>
      <x:c r="U204" s="1"/>
      <x:c r="V204" s="1"/>
      <x:c r="W204" s="1"/>
    </x:row>
    <x:row r="205" ht="32" customHeight="1">
      <x:c r="A205" s="170"/>
      <x:c r="B205" s="179"/>
      <x:c r="C205" s="170"/>
      <x:c r="D205" s="170"/>
      <x:c r="E205" s="40" t="str">
        <x:f>IF($D205="","",IFERROR(INDEX(Lotes!$B$5:$B$204,MATCH($D205,Lotes!$A$5:$A$204,0)),""))</x:f>
      </x:c>
      <x:c r="F205" s="40" t="str">
        <x:f>IF($D205="","",IFERROR(INDEX(Lotes!$C$5:$C$204,MATCH($D205,Lotes!$A$5:$A$204,0)),""))</x:f>
      </x:c>
      <x:c r="G205" s="27"/>
      <x:c r="H205" s="40" t="str">
        <x:f>IF(A205="","",IF(O205&lt;&gt;"","n.a.",IF(OR(C205="Saída",C205="Perda",C205="Ajuste negativo"),-G205,G205)))</x:f>
      </x:c>
      <x:c r="I205" s="181" t="str">
        <x:f>IF($D205="","",IFERROR(INDEX(Lotes!$K$5:$K$204,MATCH($D205,Lotes!$A$5:$A$204,0)),0))</x:f>
      </x:c>
      <x:c r="J205" s="181" t="str">
        <x:f>IF(A205="","",IF(O205&lt;&gt;"","n.a.",ABS(H205)*I205))</x:f>
      </x:c>
      <x:c r="K205" s="27"/>
      <x:c r="L205" s="27"/>
      <x:c r="M205" s="27"/>
      <x:c r="N205" s="27"/>
      <x:c r="O205" s="163" t="str">
        <x:f>IF(COUNTA(A205:D205,G205,K205:N205)=0,"",IF(OR(A205="",COUNTIFS($A$5:$A$304,A205)&lt;&gt;1),"ID ausente ou duplicado",IF(OR(NOT(ISNUMBER(B205)),B205&lt;=0),"Data ausente ou inválida",IF(AND(C205&lt;&gt;"Entrada",C205&lt;&gt;"Saída",C205&lt;&gt;"Perda",C205&lt;&gt;"Ajuste positivo",C205&lt;&gt;"Ajuste negativo"),"Tipo de movimento inválido",IF(OR(D205="",COUNTIFS(Lotes!$A$5:$A$204,D205)&lt;&gt;1),"Lote ausente ou desconhecido",IF(COUNTIFS(Lotes!$A$5:$A$204,D205,Lotes!$S$5:$S$204,"?*")&gt;0,"Revisar cadastro do lote",IF(B205&lt;INDEX(Lotes!$E$5:$E$204,MATCH(D205,Lotes!$A$5:$A$204,0)),"Movimento anterior ao recebimento",IF(OR(NOT(ISNUMBER(G205)),G205&lt;=0),"Quantidade ausente ou inválida",""))))))))</x:f>
      </x:c>
      <x:c r="P205" s="163" t="n">
        <x:f>IF(O205="",0,1)</x:f>
        <x:v>0</x:v>
      </x:c>
      <x:c r="Q205" s="163" t="n">
        <x:f>IF(COUNTA(A205:D205,G205,K205:N205)=0,0,IF(OR(Listas!$B$19="Todos",E205=Listas!$B$19,E205="",COUNTIFS(Lotes!$A$5:$A$204,D205)&lt;&gt;1),1,0))</x:f>
        <x:v>0</x:v>
      </x:c>
      <x:c r="R205" s="1"/>
      <x:c r="S205" s="1"/>
      <x:c r="T205" s="1"/>
      <x:c r="U205" s="1"/>
      <x:c r="V205" s="1"/>
      <x:c r="W205" s="1"/>
    </x:row>
    <x:row r="206" ht="32" customHeight="1">
      <x:c r="A206" s="170"/>
      <x:c r="B206" s="179"/>
      <x:c r="C206" s="170"/>
      <x:c r="D206" s="170"/>
      <x:c r="E206" s="40" t="str">
        <x:f>IF($D206="","",IFERROR(INDEX(Lotes!$B$5:$B$204,MATCH($D206,Lotes!$A$5:$A$204,0)),""))</x:f>
      </x:c>
      <x:c r="F206" s="40" t="str">
        <x:f>IF($D206="","",IFERROR(INDEX(Lotes!$C$5:$C$204,MATCH($D206,Lotes!$A$5:$A$204,0)),""))</x:f>
      </x:c>
      <x:c r="G206" s="27"/>
      <x:c r="H206" s="40" t="str">
        <x:f>IF(A206="","",IF(O206&lt;&gt;"","n.a.",IF(OR(C206="Saída",C206="Perda",C206="Ajuste negativo"),-G206,G206)))</x:f>
      </x:c>
      <x:c r="I206" s="181" t="str">
        <x:f>IF($D206="","",IFERROR(INDEX(Lotes!$K$5:$K$204,MATCH($D206,Lotes!$A$5:$A$204,0)),0))</x:f>
      </x:c>
      <x:c r="J206" s="181" t="str">
        <x:f>IF(A206="","",IF(O206&lt;&gt;"","n.a.",ABS(H206)*I206))</x:f>
      </x:c>
      <x:c r="K206" s="27"/>
      <x:c r="L206" s="27"/>
      <x:c r="M206" s="27"/>
      <x:c r="N206" s="27"/>
      <x:c r="O206" s="163" t="str">
        <x:f>IF(COUNTA(A206:D206,G206,K206:N206)=0,"",IF(OR(A206="",COUNTIFS($A$5:$A$304,A206)&lt;&gt;1),"ID ausente ou duplicado",IF(OR(NOT(ISNUMBER(B206)),B206&lt;=0),"Data ausente ou inválida",IF(AND(C206&lt;&gt;"Entrada",C206&lt;&gt;"Saída",C206&lt;&gt;"Perda",C206&lt;&gt;"Ajuste positivo",C206&lt;&gt;"Ajuste negativo"),"Tipo de movimento inválido",IF(OR(D206="",COUNTIFS(Lotes!$A$5:$A$204,D206)&lt;&gt;1),"Lote ausente ou desconhecido",IF(COUNTIFS(Lotes!$A$5:$A$204,D206,Lotes!$S$5:$S$204,"?*")&gt;0,"Revisar cadastro do lote",IF(B206&lt;INDEX(Lotes!$E$5:$E$204,MATCH(D206,Lotes!$A$5:$A$204,0)),"Movimento anterior ao recebimento",IF(OR(NOT(ISNUMBER(G206)),G206&lt;=0),"Quantidade ausente ou inválida",""))))))))</x:f>
      </x:c>
      <x:c r="P206" s="163" t="n">
        <x:f>IF(O206="",0,1)</x:f>
        <x:v>0</x:v>
      </x:c>
      <x:c r="Q206" s="163" t="n">
        <x:f>IF(COUNTA(A206:D206,G206,K206:N206)=0,0,IF(OR(Listas!$B$19="Todos",E206=Listas!$B$19,E206="",COUNTIFS(Lotes!$A$5:$A$204,D206)&lt;&gt;1),1,0))</x:f>
        <x:v>0</x:v>
      </x:c>
      <x:c r="R206" s="1"/>
      <x:c r="S206" s="1"/>
      <x:c r="T206" s="1"/>
      <x:c r="U206" s="1"/>
      <x:c r="V206" s="1"/>
      <x:c r="W206" s="1"/>
    </x:row>
    <x:row r="207" ht="32" customHeight="1">
      <x:c r="A207" s="170"/>
      <x:c r="B207" s="179"/>
      <x:c r="C207" s="170"/>
      <x:c r="D207" s="170"/>
      <x:c r="E207" s="40" t="str">
        <x:f>IF($D207="","",IFERROR(INDEX(Lotes!$B$5:$B$204,MATCH($D207,Lotes!$A$5:$A$204,0)),""))</x:f>
      </x:c>
      <x:c r="F207" s="40" t="str">
        <x:f>IF($D207="","",IFERROR(INDEX(Lotes!$C$5:$C$204,MATCH($D207,Lotes!$A$5:$A$204,0)),""))</x:f>
      </x:c>
      <x:c r="G207" s="27"/>
      <x:c r="H207" s="40" t="str">
        <x:f>IF(A207="","",IF(O207&lt;&gt;"","n.a.",IF(OR(C207="Saída",C207="Perda",C207="Ajuste negativo"),-G207,G207)))</x:f>
      </x:c>
      <x:c r="I207" s="181" t="str">
        <x:f>IF($D207="","",IFERROR(INDEX(Lotes!$K$5:$K$204,MATCH($D207,Lotes!$A$5:$A$204,0)),0))</x:f>
      </x:c>
      <x:c r="J207" s="181" t="str">
        <x:f>IF(A207="","",IF(O207&lt;&gt;"","n.a.",ABS(H207)*I207))</x:f>
      </x:c>
      <x:c r="K207" s="27"/>
      <x:c r="L207" s="27"/>
      <x:c r="M207" s="27"/>
      <x:c r="N207" s="27"/>
      <x:c r="O207" s="163" t="str">
        <x:f>IF(COUNTA(A207:D207,G207,K207:N207)=0,"",IF(OR(A207="",COUNTIFS($A$5:$A$304,A207)&lt;&gt;1),"ID ausente ou duplicado",IF(OR(NOT(ISNUMBER(B207)),B207&lt;=0),"Data ausente ou inválida",IF(AND(C207&lt;&gt;"Entrada",C207&lt;&gt;"Saída",C207&lt;&gt;"Perda",C207&lt;&gt;"Ajuste positivo",C207&lt;&gt;"Ajuste negativo"),"Tipo de movimento inválido",IF(OR(D207="",COUNTIFS(Lotes!$A$5:$A$204,D207)&lt;&gt;1),"Lote ausente ou desconhecido",IF(COUNTIFS(Lotes!$A$5:$A$204,D207,Lotes!$S$5:$S$204,"?*")&gt;0,"Revisar cadastro do lote",IF(B207&lt;INDEX(Lotes!$E$5:$E$204,MATCH(D207,Lotes!$A$5:$A$204,0)),"Movimento anterior ao recebimento",IF(OR(NOT(ISNUMBER(G207)),G207&lt;=0),"Quantidade ausente ou inválida",""))))))))</x:f>
      </x:c>
      <x:c r="P207" s="163" t="n">
        <x:f>IF(O207="",0,1)</x:f>
        <x:v>0</x:v>
      </x:c>
      <x:c r="Q207" s="163" t="n">
        <x:f>IF(COUNTA(A207:D207,G207,K207:N207)=0,0,IF(OR(Listas!$B$19="Todos",E207=Listas!$B$19,E207="",COUNTIFS(Lotes!$A$5:$A$204,D207)&lt;&gt;1),1,0))</x:f>
        <x:v>0</x:v>
      </x:c>
      <x:c r="R207" s="1"/>
      <x:c r="S207" s="1"/>
      <x:c r="T207" s="1"/>
      <x:c r="U207" s="1"/>
      <x:c r="V207" s="1"/>
      <x:c r="W207" s="1"/>
    </x:row>
    <x:row r="208" ht="32" customHeight="1">
      <x:c r="A208" s="170"/>
      <x:c r="B208" s="179"/>
      <x:c r="C208" s="170"/>
      <x:c r="D208" s="170"/>
      <x:c r="E208" s="40" t="str">
        <x:f>IF($D208="","",IFERROR(INDEX(Lotes!$B$5:$B$204,MATCH($D208,Lotes!$A$5:$A$204,0)),""))</x:f>
      </x:c>
      <x:c r="F208" s="40" t="str">
        <x:f>IF($D208="","",IFERROR(INDEX(Lotes!$C$5:$C$204,MATCH($D208,Lotes!$A$5:$A$204,0)),""))</x:f>
      </x:c>
      <x:c r="G208" s="27"/>
      <x:c r="H208" s="40" t="str">
        <x:f>IF(A208="","",IF(O208&lt;&gt;"","n.a.",IF(OR(C208="Saída",C208="Perda",C208="Ajuste negativo"),-G208,G208)))</x:f>
      </x:c>
      <x:c r="I208" s="181" t="str">
        <x:f>IF($D208="","",IFERROR(INDEX(Lotes!$K$5:$K$204,MATCH($D208,Lotes!$A$5:$A$204,0)),0))</x:f>
      </x:c>
      <x:c r="J208" s="181" t="str">
        <x:f>IF(A208="","",IF(O208&lt;&gt;"","n.a.",ABS(H208)*I208))</x:f>
      </x:c>
      <x:c r="K208" s="27"/>
      <x:c r="L208" s="27"/>
      <x:c r="M208" s="27"/>
      <x:c r="N208" s="27"/>
      <x:c r="O208" s="163" t="str">
        <x:f>IF(COUNTA(A208:D208,G208,K208:N208)=0,"",IF(OR(A208="",COUNTIFS($A$5:$A$304,A208)&lt;&gt;1),"ID ausente ou duplicado",IF(OR(NOT(ISNUMBER(B208)),B208&lt;=0),"Data ausente ou inválida",IF(AND(C208&lt;&gt;"Entrada",C208&lt;&gt;"Saída",C208&lt;&gt;"Perda",C208&lt;&gt;"Ajuste positivo",C208&lt;&gt;"Ajuste negativo"),"Tipo de movimento inválido",IF(OR(D208="",COUNTIFS(Lotes!$A$5:$A$204,D208)&lt;&gt;1),"Lote ausente ou desconhecido",IF(COUNTIFS(Lotes!$A$5:$A$204,D208,Lotes!$S$5:$S$204,"?*")&gt;0,"Revisar cadastro do lote",IF(B208&lt;INDEX(Lotes!$E$5:$E$204,MATCH(D208,Lotes!$A$5:$A$204,0)),"Movimento anterior ao recebimento",IF(OR(NOT(ISNUMBER(G208)),G208&lt;=0),"Quantidade ausente ou inválida",""))))))))</x:f>
      </x:c>
      <x:c r="P208" s="163" t="n">
        <x:f>IF(O208="",0,1)</x:f>
        <x:v>0</x:v>
      </x:c>
      <x:c r="Q208" s="163" t="n">
        <x:f>IF(COUNTA(A208:D208,G208,K208:N208)=0,0,IF(OR(Listas!$B$19="Todos",E208=Listas!$B$19,E208="",COUNTIFS(Lotes!$A$5:$A$204,D208)&lt;&gt;1),1,0))</x:f>
        <x:v>0</x:v>
      </x:c>
      <x:c r="R208" s="1"/>
      <x:c r="S208" s="1"/>
      <x:c r="T208" s="1"/>
      <x:c r="U208" s="1"/>
      <x:c r="V208" s="1"/>
      <x:c r="W208" s="1"/>
    </x:row>
    <x:row r="209" ht="32" customHeight="1">
      <x:c r="A209" s="170"/>
      <x:c r="B209" s="179"/>
      <x:c r="C209" s="170"/>
      <x:c r="D209" s="170"/>
      <x:c r="E209" s="40" t="str">
        <x:f>IF($D209="","",IFERROR(INDEX(Lotes!$B$5:$B$204,MATCH($D209,Lotes!$A$5:$A$204,0)),""))</x:f>
      </x:c>
      <x:c r="F209" s="40" t="str">
        <x:f>IF($D209="","",IFERROR(INDEX(Lotes!$C$5:$C$204,MATCH($D209,Lotes!$A$5:$A$204,0)),""))</x:f>
      </x:c>
      <x:c r="G209" s="27"/>
      <x:c r="H209" s="40" t="str">
        <x:f>IF(A209="","",IF(O209&lt;&gt;"","n.a.",IF(OR(C209="Saída",C209="Perda",C209="Ajuste negativo"),-G209,G209)))</x:f>
      </x:c>
      <x:c r="I209" s="181" t="str">
        <x:f>IF($D209="","",IFERROR(INDEX(Lotes!$K$5:$K$204,MATCH($D209,Lotes!$A$5:$A$204,0)),0))</x:f>
      </x:c>
      <x:c r="J209" s="181" t="str">
        <x:f>IF(A209="","",IF(O209&lt;&gt;"","n.a.",ABS(H209)*I209))</x:f>
      </x:c>
      <x:c r="K209" s="27"/>
      <x:c r="L209" s="27"/>
      <x:c r="M209" s="27"/>
      <x:c r="N209" s="27"/>
      <x:c r="O209" s="163" t="str">
        <x:f>IF(COUNTA(A209:D209,G209,K209:N209)=0,"",IF(OR(A209="",COUNTIFS($A$5:$A$304,A209)&lt;&gt;1),"ID ausente ou duplicado",IF(OR(NOT(ISNUMBER(B209)),B209&lt;=0),"Data ausente ou inválida",IF(AND(C209&lt;&gt;"Entrada",C209&lt;&gt;"Saída",C209&lt;&gt;"Perda",C209&lt;&gt;"Ajuste positivo",C209&lt;&gt;"Ajuste negativo"),"Tipo de movimento inválido",IF(OR(D209="",COUNTIFS(Lotes!$A$5:$A$204,D209)&lt;&gt;1),"Lote ausente ou desconhecido",IF(COUNTIFS(Lotes!$A$5:$A$204,D209,Lotes!$S$5:$S$204,"?*")&gt;0,"Revisar cadastro do lote",IF(B209&lt;INDEX(Lotes!$E$5:$E$204,MATCH(D209,Lotes!$A$5:$A$204,0)),"Movimento anterior ao recebimento",IF(OR(NOT(ISNUMBER(G209)),G209&lt;=0),"Quantidade ausente ou inválida",""))))))))</x:f>
      </x:c>
      <x:c r="P209" s="163" t="n">
        <x:f>IF(O209="",0,1)</x:f>
        <x:v>0</x:v>
      </x:c>
      <x:c r="Q209" s="163" t="n">
        <x:f>IF(COUNTA(A209:D209,G209,K209:N209)=0,0,IF(OR(Listas!$B$19="Todos",E209=Listas!$B$19,E209="",COUNTIFS(Lotes!$A$5:$A$204,D209)&lt;&gt;1),1,0))</x:f>
        <x:v>0</x:v>
      </x:c>
      <x:c r="R209" s="1"/>
      <x:c r="S209" s="1"/>
      <x:c r="T209" s="1"/>
      <x:c r="U209" s="1"/>
      <x:c r="V209" s="1"/>
      <x:c r="W209" s="1"/>
    </x:row>
    <x:row r="210" ht="32" customHeight="1">
      <x:c r="A210" s="170"/>
      <x:c r="B210" s="179"/>
      <x:c r="C210" s="170"/>
      <x:c r="D210" s="170"/>
      <x:c r="E210" s="40" t="str">
        <x:f>IF($D210="","",IFERROR(INDEX(Lotes!$B$5:$B$204,MATCH($D210,Lotes!$A$5:$A$204,0)),""))</x:f>
      </x:c>
      <x:c r="F210" s="40" t="str">
        <x:f>IF($D210="","",IFERROR(INDEX(Lotes!$C$5:$C$204,MATCH($D210,Lotes!$A$5:$A$204,0)),""))</x:f>
      </x:c>
      <x:c r="G210" s="27"/>
      <x:c r="H210" s="40" t="str">
        <x:f>IF(A210="","",IF(O210&lt;&gt;"","n.a.",IF(OR(C210="Saída",C210="Perda",C210="Ajuste negativo"),-G210,G210)))</x:f>
      </x:c>
      <x:c r="I210" s="181" t="str">
        <x:f>IF($D210="","",IFERROR(INDEX(Lotes!$K$5:$K$204,MATCH($D210,Lotes!$A$5:$A$204,0)),0))</x:f>
      </x:c>
      <x:c r="J210" s="181" t="str">
        <x:f>IF(A210="","",IF(O210&lt;&gt;"","n.a.",ABS(H210)*I210))</x:f>
      </x:c>
      <x:c r="K210" s="27"/>
      <x:c r="L210" s="27"/>
      <x:c r="M210" s="27"/>
      <x:c r="N210" s="27"/>
      <x:c r="O210" s="163" t="str">
        <x:f>IF(COUNTA(A210:D210,G210,K210:N210)=0,"",IF(OR(A210="",COUNTIFS($A$5:$A$304,A210)&lt;&gt;1),"ID ausente ou duplicado",IF(OR(NOT(ISNUMBER(B210)),B210&lt;=0),"Data ausente ou inválida",IF(AND(C210&lt;&gt;"Entrada",C210&lt;&gt;"Saída",C210&lt;&gt;"Perda",C210&lt;&gt;"Ajuste positivo",C210&lt;&gt;"Ajuste negativo"),"Tipo de movimento inválido",IF(OR(D210="",COUNTIFS(Lotes!$A$5:$A$204,D210)&lt;&gt;1),"Lote ausente ou desconhecido",IF(COUNTIFS(Lotes!$A$5:$A$204,D210,Lotes!$S$5:$S$204,"?*")&gt;0,"Revisar cadastro do lote",IF(B210&lt;INDEX(Lotes!$E$5:$E$204,MATCH(D210,Lotes!$A$5:$A$204,0)),"Movimento anterior ao recebimento",IF(OR(NOT(ISNUMBER(G210)),G210&lt;=0),"Quantidade ausente ou inválida",""))))))))</x:f>
      </x:c>
      <x:c r="P210" s="163" t="n">
        <x:f>IF(O210="",0,1)</x:f>
        <x:v>0</x:v>
      </x:c>
      <x:c r="Q210" s="163" t="n">
        <x:f>IF(COUNTA(A210:D210,G210,K210:N210)=0,0,IF(OR(Listas!$B$19="Todos",E210=Listas!$B$19,E210="",COUNTIFS(Lotes!$A$5:$A$204,D210)&lt;&gt;1),1,0))</x:f>
        <x:v>0</x:v>
      </x:c>
      <x:c r="R210" s="1"/>
      <x:c r="S210" s="1"/>
      <x:c r="T210" s="1"/>
      <x:c r="U210" s="1"/>
      <x:c r="V210" s="1"/>
      <x:c r="W210" s="1"/>
    </x:row>
    <x:row r="211" ht="32" customHeight="1">
      <x:c r="A211" s="170"/>
      <x:c r="B211" s="179"/>
      <x:c r="C211" s="170"/>
      <x:c r="D211" s="170"/>
      <x:c r="E211" s="40" t="str">
        <x:f>IF($D211="","",IFERROR(INDEX(Lotes!$B$5:$B$204,MATCH($D211,Lotes!$A$5:$A$204,0)),""))</x:f>
      </x:c>
      <x:c r="F211" s="40" t="str">
        <x:f>IF($D211="","",IFERROR(INDEX(Lotes!$C$5:$C$204,MATCH($D211,Lotes!$A$5:$A$204,0)),""))</x:f>
      </x:c>
      <x:c r="G211" s="27"/>
      <x:c r="H211" s="40" t="str">
        <x:f>IF(A211="","",IF(O211&lt;&gt;"","n.a.",IF(OR(C211="Saída",C211="Perda",C211="Ajuste negativo"),-G211,G211)))</x:f>
      </x:c>
      <x:c r="I211" s="181" t="str">
        <x:f>IF($D211="","",IFERROR(INDEX(Lotes!$K$5:$K$204,MATCH($D211,Lotes!$A$5:$A$204,0)),0))</x:f>
      </x:c>
      <x:c r="J211" s="181" t="str">
        <x:f>IF(A211="","",IF(O211&lt;&gt;"","n.a.",ABS(H211)*I211))</x:f>
      </x:c>
      <x:c r="K211" s="27"/>
      <x:c r="L211" s="27"/>
      <x:c r="M211" s="27"/>
      <x:c r="N211" s="27"/>
      <x:c r="O211" s="163" t="str">
        <x:f>IF(COUNTA(A211:D211,G211,K211:N211)=0,"",IF(OR(A211="",COUNTIFS($A$5:$A$304,A211)&lt;&gt;1),"ID ausente ou duplicado",IF(OR(NOT(ISNUMBER(B211)),B211&lt;=0),"Data ausente ou inválida",IF(AND(C211&lt;&gt;"Entrada",C211&lt;&gt;"Saída",C211&lt;&gt;"Perda",C211&lt;&gt;"Ajuste positivo",C211&lt;&gt;"Ajuste negativo"),"Tipo de movimento inválido",IF(OR(D211="",COUNTIFS(Lotes!$A$5:$A$204,D211)&lt;&gt;1),"Lote ausente ou desconhecido",IF(COUNTIFS(Lotes!$A$5:$A$204,D211,Lotes!$S$5:$S$204,"?*")&gt;0,"Revisar cadastro do lote",IF(B211&lt;INDEX(Lotes!$E$5:$E$204,MATCH(D211,Lotes!$A$5:$A$204,0)),"Movimento anterior ao recebimento",IF(OR(NOT(ISNUMBER(G211)),G211&lt;=0),"Quantidade ausente ou inválida",""))))))))</x:f>
      </x:c>
      <x:c r="P211" s="163" t="n">
        <x:f>IF(O211="",0,1)</x:f>
        <x:v>0</x:v>
      </x:c>
      <x:c r="Q211" s="163" t="n">
        <x:f>IF(COUNTA(A211:D211,G211,K211:N211)=0,0,IF(OR(Listas!$B$19="Todos",E211=Listas!$B$19,E211="",COUNTIFS(Lotes!$A$5:$A$204,D211)&lt;&gt;1),1,0))</x:f>
        <x:v>0</x:v>
      </x:c>
      <x:c r="R211" s="1"/>
      <x:c r="S211" s="1"/>
      <x:c r="T211" s="1"/>
      <x:c r="U211" s="1"/>
      <x:c r="V211" s="1"/>
      <x:c r="W211" s="1"/>
    </x:row>
    <x:row r="212" ht="32" customHeight="1">
      <x:c r="A212" s="170"/>
      <x:c r="B212" s="179"/>
      <x:c r="C212" s="170"/>
      <x:c r="D212" s="170"/>
      <x:c r="E212" s="40" t="str">
        <x:f>IF($D212="","",IFERROR(INDEX(Lotes!$B$5:$B$204,MATCH($D212,Lotes!$A$5:$A$204,0)),""))</x:f>
      </x:c>
      <x:c r="F212" s="40" t="str">
        <x:f>IF($D212="","",IFERROR(INDEX(Lotes!$C$5:$C$204,MATCH($D212,Lotes!$A$5:$A$204,0)),""))</x:f>
      </x:c>
      <x:c r="G212" s="27"/>
      <x:c r="H212" s="40" t="str">
        <x:f>IF(A212="","",IF(O212&lt;&gt;"","n.a.",IF(OR(C212="Saída",C212="Perda",C212="Ajuste negativo"),-G212,G212)))</x:f>
      </x:c>
      <x:c r="I212" s="181" t="str">
        <x:f>IF($D212="","",IFERROR(INDEX(Lotes!$K$5:$K$204,MATCH($D212,Lotes!$A$5:$A$204,0)),0))</x:f>
      </x:c>
      <x:c r="J212" s="181" t="str">
        <x:f>IF(A212="","",IF(O212&lt;&gt;"","n.a.",ABS(H212)*I212))</x:f>
      </x:c>
      <x:c r="K212" s="27"/>
      <x:c r="L212" s="27"/>
      <x:c r="M212" s="27"/>
      <x:c r="N212" s="27"/>
      <x:c r="O212" s="163" t="str">
        <x:f>IF(COUNTA(A212:D212,G212,K212:N212)=0,"",IF(OR(A212="",COUNTIFS($A$5:$A$304,A212)&lt;&gt;1),"ID ausente ou duplicado",IF(OR(NOT(ISNUMBER(B212)),B212&lt;=0),"Data ausente ou inválida",IF(AND(C212&lt;&gt;"Entrada",C212&lt;&gt;"Saída",C212&lt;&gt;"Perda",C212&lt;&gt;"Ajuste positivo",C212&lt;&gt;"Ajuste negativo"),"Tipo de movimento inválido",IF(OR(D212="",COUNTIFS(Lotes!$A$5:$A$204,D212)&lt;&gt;1),"Lote ausente ou desconhecido",IF(COUNTIFS(Lotes!$A$5:$A$204,D212,Lotes!$S$5:$S$204,"?*")&gt;0,"Revisar cadastro do lote",IF(B212&lt;INDEX(Lotes!$E$5:$E$204,MATCH(D212,Lotes!$A$5:$A$204,0)),"Movimento anterior ao recebimento",IF(OR(NOT(ISNUMBER(G212)),G212&lt;=0),"Quantidade ausente ou inválida",""))))))))</x:f>
      </x:c>
      <x:c r="P212" s="163" t="n">
        <x:f>IF(O212="",0,1)</x:f>
        <x:v>0</x:v>
      </x:c>
      <x:c r="Q212" s="163" t="n">
        <x:f>IF(COUNTA(A212:D212,G212,K212:N212)=0,0,IF(OR(Listas!$B$19="Todos",E212=Listas!$B$19,E212="",COUNTIFS(Lotes!$A$5:$A$204,D212)&lt;&gt;1),1,0))</x:f>
        <x:v>0</x:v>
      </x:c>
      <x:c r="R212" s="1"/>
      <x:c r="S212" s="1"/>
      <x:c r="T212" s="1"/>
      <x:c r="U212" s="1"/>
      <x:c r="V212" s="1"/>
      <x:c r="W212" s="1"/>
    </x:row>
    <x:row r="213" ht="32" customHeight="1">
      <x:c r="A213" s="170"/>
      <x:c r="B213" s="179"/>
      <x:c r="C213" s="170"/>
      <x:c r="D213" s="170"/>
      <x:c r="E213" s="40" t="str">
        <x:f>IF($D213="","",IFERROR(INDEX(Lotes!$B$5:$B$204,MATCH($D213,Lotes!$A$5:$A$204,0)),""))</x:f>
      </x:c>
      <x:c r="F213" s="40" t="str">
        <x:f>IF($D213="","",IFERROR(INDEX(Lotes!$C$5:$C$204,MATCH($D213,Lotes!$A$5:$A$204,0)),""))</x:f>
      </x:c>
      <x:c r="G213" s="27"/>
      <x:c r="H213" s="40" t="str">
        <x:f>IF(A213="","",IF(O213&lt;&gt;"","n.a.",IF(OR(C213="Saída",C213="Perda",C213="Ajuste negativo"),-G213,G213)))</x:f>
      </x:c>
      <x:c r="I213" s="181" t="str">
        <x:f>IF($D213="","",IFERROR(INDEX(Lotes!$K$5:$K$204,MATCH($D213,Lotes!$A$5:$A$204,0)),0))</x:f>
      </x:c>
      <x:c r="J213" s="181" t="str">
        <x:f>IF(A213="","",IF(O213&lt;&gt;"","n.a.",ABS(H213)*I213))</x:f>
      </x:c>
      <x:c r="K213" s="27"/>
      <x:c r="L213" s="27"/>
      <x:c r="M213" s="27"/>
      <x:c r="N213" s="27"/>
      <x:c r="O213" s="163" t="str">
        <x:f>IF(COUNTA(A213:D213,G213,K213:N213)=0,"",IF(OR(A213="",COUNTIFS($A$5:$A$304,A213)&lt;&gt;1),"ID ausente ou duplicado",IF(OR(NOT(ISNUMBER(B213)),B213&lt;=0),"Data ausente ou inválida",IF(AND(C213&lt;&gt;"Entrada",C213&lt;&gt;"Saída",C213&lt;&gt;"Perda",C213&lt;&gt;"Ajuste positivo",C213&lt;&gt;"Ajuste negativo"),"Tipo de movimento inválido",IF(OR(D213="",COUNTIFS(Lotes!$A$5:$A$204,D213)&lt;&gt;1),"Lote ausente ou desconhecido",IF(COUNTIFS(Lotes!$A$5:$A$204,D213,Lotes!$S$5:$S$204,"?*")&gt;0,"Revisar cadastro do lote",IF(B213&lt;INDEX(Lotes!$E$5:$E$204,MATCH(D213,Lotes!$A$5:$A$204,0)),"Movimento anterior ao recebimento",IF(OR(NOT(ISNUMBER(G213)),G213&lt;=0),"Quantidade ausente ou inválida",""))))))))</x:f>
      </x:c>
      <x:c r="P213" s="163" t="n">
        <x:f>IF(O213="",0,1)</x:f>
        <x:v>0</x:v>
      </x:c>
      <x:c r="Q213" s="163" t="n">
        <x:f>IF(COUNTA(A213:D213,G213,K213:N213)=0,0,IF(OR(Listas!$B$19="Todos",E213=Listas!$B$19,E213="",COUNTIFS(Lotes!$A$5:$A$204,D213)&lt;&gt;1),1,0))</x:f>
        <x:v>0</x:v>
      </x:c>
      <x:c r="R213" s="1"/>
      <x:c r="S213" s="1"/>
      <x:c r="T213" s="1"/>
      <x:c r="U213" s="1"/>
      <x:c r="V213" s="1"/>
      <x:c r="W213" s="1"/>
    </x:row>
    <x:row r="214" ht="32" customHeight="1">
      <x:c r="A214" s="170"/>
      <x:c r="B214" s="179"/>
      <x:c r="C214" s="170"/>
      <x:c r="D214" s="170"/>
      <x:c r="E214" s="40" t="str">
        <x:f>IF($D214="","",IFERROR(INDEX(Lotes!$B$5:$B$204,MATCH($D214,Lotes!$A$5:$A$204,0)),""))</x:f>
      </x:c>
      <x:c r="F214" s="40" t="str">
        <x:f>IF($D214="","",IFERROR(INDEX(Lotes!$C$5:$C$204,MATCH($D214,Lotes!$A$5:$A$204,0)),""))</x:f>
      </x:c>
      <x:c r="G214" s="27"/>
      <x:c r="H214" s="40" t="str">
        <x:f>IF(A214="","",IF(O214&lt;&gt;"","n.a.",IF(OR(C214="Saída",C214="Perda",C214="Ajuste negativo"),-G214,G214)))</x:f>
      </x:c>
      <x:c r="I214" s="181" t="str">
        <x:f>IF($D214="","",IFERROR(INDEX(Lotes!$K$5:$K$204,MATCH($D214,Lotes!$A$5:$A$204,0)),0))</x:f>
      </x:c>
      <x:c r="J214" s="181" t="str">
        <x:f>IF(A214="","",IF(O214&lt;&gt;"","n.a.",ABS(H214)*I214))</x:f>
      </x:c>
      <x:c r="K214" s="27"/>
      <x:c r="L214" s="27"/>
      <x:c r="M214" s="27"/>
      <x:c r="N214" s="27"/>
      <x:c r="O214" s="163" t="str">
        <x:f>IF(COUNTA(A214:D214,G214,K214:N214)=0,"",IF(OR(A214="",COUNTIFS($A$5:$A$304,A214)&lt;&gt;1),"ID ausente ou duplicado",IF(OR(NOT(ISNUMBER(B214)),B214&lt;=0),"Data ausente ou inválida",IF(AND(C214&lt;&gt;"Entrada",C214&lt;&gt;"Saída",C214&lt;&gt;"Perda",C214&lt;&gt;"Ajuste positivo",C214&lt;&gt;"Ajuste negativo"),"Tipo de movimento inválido",IF(OR(D214="",COUNTIFS(Lotes!$A$5:$A$204,D214)&lt;&gt;1),"Lote ausente ou desconhecido",IF(COUNTIFS(Lotes!$A$5:$A$204,D214,Lotes!$S$5:$S$204,"?*")&gt;0,"Revisar cadastro do lote",IF(B214&lt;INDEX(Lotes!$E$5:$E$204,MATCH(D214,Lotes!$A$5:$A$204,0)),"Movimento anterior ao recebimento",IF(OR(NOT(ISNUMBER(G214)),G214&lt;=0),"Quantidade ausente ou inválida",""))))))))</x:f>
      </x:c>
      <x:c r="P214" s="163" t="n">
        <x:f>IF(O214="",0,1)</x:f>
        <x:v>0</x:v>
      </x:c>
      <x:c r="Q214" s="163" t="n">
        <x:f>IF(COUNTA(A214:D214,G214,K214:N214)=0,0,IF(OR(Listas!$B$19="Todos",E214=Listas!$B$19,E214="",COUNTIFS(Lotes!$A$5:$A$204,D214)&lt;&gt;1),1,0))</x:f>
        <x:v>0</x:v>
      </x:c>
      <x:c r="R214" s="1"/>
      <x:c r="S214" s="1"/>
      <x:c r="T214" s="1"/>
      <x:c r="U214" s="1"/>
      <x:c r="V214" s="1"/>
      <x:c r="W214" s="1"/>
    </x:row>
    <x:row r="215" ht="32" customHeight="1">
      <x:c r="A215" s="170"/>
      <x:c r="B215" s="179"/>
      <x:c r="C215" s="170"/>
      <x:c r="D215" s="170"/>
      <x:c r="E215" s="40" t="str">
        <x:f>IF($D215="","",IFERROR(INDEX(Lotes!$B$5:$B$204,MATCH($D215,Lotes!$A$5:$A$204,0)),""))</x:f>
      </x:c>
      <x:c r="F215" s="40" t="str">
        <x:f>IF($D215="","",IFERROR(INDEX(Lotes!$C$5:$C$204,MATCH($D215,Lotes!$A$5:$A$204,0)),""))</x:f>
      </x:c>
      <x:c r="G215" s="27"/>
      <x:c r="H215" s="40" t="str">
        <x:f>IF(A215="","",IF(O215&lt;&gt;"","n.a.",IF(OR(C215="Saída",C215="Perda",C215="Ajuste negativo"),-G215,G215)))</x:f>
      </x:c>
      <x:c r="I215" s="181" t="str">
        <x:f>IF($D215="","",IFERROR(INDEX(Lotes!$K$5:$K$204,MATCH($D215,Lotes!$A$5:$A$204,0)),0))</x:f>
      </x:c>
      <x:c r="J215" s="181" t="str">
        <x:f>IF(A215="","",IF(O215&lt;&gt;"","n.a.",ABS(H215)*I215))</x:f>
      </x:c>
      <x:c r="K215" s="27"/>
      <x:c r="L215" s="27"/>
      <x:c r="M215" s="27"/>
      <x:c r="N215" s="27"/>
      <x:c r="O215" s="163" t="str">
        <x:f>IF(COUNTA(A215:D215,G215,K215:N215)=0,"",IF(OR(A215="",COUNTIFS($A$5:$A$304,A215)&lt;&gt;1),"ID ausente ou duplicado",IF(OR(NOT(ISNUMBER(B215)),B215&lt;=0),"Data ausente ou inválida",IF(AND(C215&lt;&gt;"Entrada",C215&lt;&gt;"Saída",C215&lt;&gt;"Perda",C215&lt;&gt;"Ajuste positivo",C215&lt;&gt;"Ajuste negativo"),"Tipo de movimento inválido",IF(OR(D215="",COUNTIFS(Lotes!$A$5:$A$204,D215)&lt;&gt;1),"Lote ausente ou desconhecido",IF(COUNTIFS(Lotes!$A$5:$A$204,D215,Lotes!$S$5:$S$204,"?*")&gt;0,"Revisar cadastro do lote",IF(B215&lt;INDEX(Lotes!$E$5:$E$204,MATCH(D215,Lotes!$A$5:$A$204,0)),"Movimento anterior ao recebimento",IF(OR(NOT(ISNUMBER(G215)),G215&lt;=0),"Quantidade ausente ou inválida",""))))))))</x:f>
      </x:c>
      <x:c r="P215" s="163" t="n">
        <x:f>IF(O215="",0,1)</x:f>
        <x:v>0</x:v>
      </x:c>
      <x:c r="Q215" s="163" t="n">
        <x:f>IF(COUNTA(A215:D215,G215,K215:N215)=0,0,IF(OR(Listas!$B$19="Todos",E215=Listas!$B$19,E215="",COUNTIFS(Lotes!$A$5:$A$204,D215)&lt;&gt;1),1,0))</x:f>
        <x:v>0</x:v>
      </x:c>
      <x:c r="R215" s="1"/>
      <x:c r="S215" s="1"/>
      <x:c r="T215" s="1"/>
      <x:c r="U215" s="1"/>
      <x:c r="V215" s="1"/>
      <x:c r="W215" s="1"/>
    </x:row>
    <x:row r="216" ht="32" customHeight="1">
      <x:c r="A216" s="170"/>
      <x:c r="B216" s="179"/>
      <x:c r="C216" s="170"/>
      <x:c r="D216" s="170"/>
      <x:c r="E216" s="40" t="str">
        <x:f>IF($D216="","",IFERROR(INDEX(Lotes!$B$5:$B$204,MATCH($D216,Lotes!$A$5:$A$204,0)),""))</x:f>
      </x:c>
      <x:c r="F216" s="40" t="str">
        <x:f>IF($D216="","",IFERROR(INDEX(Lotes!$C$5:$C$204,MATCH($D216,Lotes!$A$5:$A$204,0)),""))</x:f>
      </x:c>
      <x:c r="G216" s="27"/>
      <x:c r="H216" s="40" t="str">
        <x:f>IF(A216="","",IF(O216&lt;&gt;"","n.a.",IF(OR(C216="Saída",C216="Perda",C216="Ajuste negativo"),-G216,G216)))</x:f>
      </x:c>
      <x:c r="I216" s="181" t="str">
        <x:f>IF($D216="","",IFERROR(INDEX(Lotes!$K$5:$K$204,MATCH($D216,Lotes!$A$5:$A$204,0)),0))</x:f>
      </x:c>
      <x:c r="J216" s="181" t="str">
        <x:f>IF(A216="","",IF(O216&lt;&gt;"","n.a.",ABS(H216)*I216))</x:f>
      </x:c>
      <x:c r="K216" s="27"/>
      <x:c r="L216" s="27"/>
      <x:c r="M216" s="27"/>
      <x:c r="N216" s="27"/>
      <x:c r="O216" s="163" t="str">
        <x:f>IF(COUNTA(A216:D216,G216,K216:N216)=0,"",IF(OR(A216="",COUNTIFS($A$5:$A$304,A216)&lt;&gt;1),"ID ausente ou duplicado",IF(OR(NOT(ISNUMBER(B216)),B216&lt;=0),"Data ausente ou inválida",IF(AND(C216&lt;&gt;"Entrada",C216&lt;&gt;"Saída",C216&lt;&gt;"Perda",C216&lt;&gt;"Ajuste positivo",C216&lt;&gt;"Ajuste negativo"),"Tipo de movimento inválido",IF(OR(D216="",COUNTIFS(Lotes!$A$5:$A$204,D216)&lt;&gt;1),"Lote ausente ou desconhecido",IF(COUNTIFS(Lotes!$A$5:$A$204,D216,Lotes!$S$5:$S$204,"?*")&gt;0,"Revisar cadastro do lote",IF(B216&lt;INDEX(Lotes!$E$5:$E$204,MATCH(D216,Lotes!$A$5:$A$204,0)),"Movimento anterior ao recebimento",IF(OR(NOT(ISNUMBER(G216)),G216&lt;=0),"Quantidade ausente ou inválida",""))))))))</x:f>
      </x:c>
      <x:c r="P216" s="163" t="n">
        <x:f>IF(O216="",0,1)</x:f>
        <x:v>0</x:v>
      </x:c>
      <x:c r="Q216" s="163" t="n">
        <x:f>IF(COUNTA(A216:D216,G216,K216:N216)=0,0,IF(OR(Listas!$B$19="Todos",E216=Listas!$B$19,E216="",COUNTIFS(Lotes!$A$5:$A$204,D216)&lt;&gt;1),1,0))</x:f>
        <x:v>0</x:v>
      </x:c>
      <x:c r="R216" s="1"/>
      <x:c r="S216" s="1"/>
      <x:c r="T216" s="1"/>
      <x:c r="U216" s="1"/>
      <x:c r="V216" s="1"/>
      <x:c r="W216" s="1"/>
    </x:row>
    <x:row r="217" ht="32" customHeight="1">
      <x:c r="A217" s="170"/>
      <x:c r="B217" s="179"/>
      <x:c r="C217" s="170"/>
      <x:c r="D217" s="170"/>
      <x:c r="E217" s="40" t="str">
        <x:f>IF($D217="","",IFERROR(INDEX(Lotes!$B$5:$B$204,MATCH($D217,Lotes!$A$5:$A$204,0)),""))</x:f>
      </x:c>
      <x:c r="F217" s="40" t="str">
        <x:f>IF($D217="","",IFERROR(INDEX(Lotes!$C$5:$C$204,MATCH($D217,Lotes!$A$5:$A$204,0)),""))</x:f>
      </x:c>
      <x:c r="G217" s="27"/>
      <x:c r="H217" s="40" t="str">
        <x:f>IF(A217="","",IF(O217&lt;&gt;"","n.a.",IF(OR(C217="Saída",C217="Perda",C217="Ajuste negativo"),-G217,G217)))</x:f>
      </x:c>
      <x:c r="I217" s="181" t="str">
        <x:f>IF($D217="","",IFERROR(INDEX(Lotes!$K$5:$K$204,MATCH($D217,Lotes!$A$5:$A$204,0)),0))</x:f>
      </x:c>
      <x:c r="J217" s="181" t="str">
        <x:f>IF(A217="","",IF(O217&lt;&gt;"","n.a.",ABS(H217)*I217))</x:f>
      </x:c>
      <x:c r="K217" s="27"/>
      <x:c r="L217" s="27"/>
      <x:c r="M217" s="27"/>
      <x:c r="N217" s="27"/>
      <x:c r="O217" s="163" t="str">
        <x:f>IF(COUNTA(A217:D217,G217,K217:N217)=0,"",IF(OR(A217="",COUNTIFS($A$5:$A$304,A217)&lt;&gt;1),"ID ausente ou duplicado",IF(OR(NOT(ISNUMBER(B217)),B217&lt;=0),"Data ausente ou inválida",IF(AND(C217&lt;&gt;"Entrada",C217&lt;&gt;"Saída",C217&lt;&gt;"Perda",C217&lt;&gt;"Ajuste positivo",C217&lt;&gt;"Ajuste negativo"),"Tipo de movimento inválido",IF(OR(D217="",COUNTIFS(Lotes!$A$5:$A$204,D217)&lt;&gt;1),"Lote ausente ou desconhecido",IF(COUNTIFS(Lotes!$A$5:$A$204,D217,Lotes!$S$5:$S$204,"?*")&gt;0,"Revisar cadastro do lote",IF(B217&lt;INDEX(Lotes!$E$5:$E$204,MATCH(D217,Lotes!$A$5:$A$204,0)),"Movimento anterior ao recebimento",IF(OR(NOT(ISNUMBER(G217)),G217&lt;=0),"Quantidade ausente ou inválida",""))))))))</x:f>
      </x:c>
      <x:c r="P217" s="163" t="n">
        <x:f>IF(O217="",0,1)</x:f>
        <x:v>0</x:v>
      </x:c>
      <x:c r="Q217" s="163" t="n">
        <x:f>IF(COUNTA(A217:D217,G217,K217:N217)=0,0,IF(OR(Listas!$B$19="Todos",E217=Listas!$B$19,E217="",COUNTIFS(Lotes!$A$5:$A$204,D217)&lt;&gt;1),1,0))</x:f>
        <x:v>0</x:v>
      </x:c>
      <x:c r="R217" s="1"/>
      <x:c r="S217" s="1"/>
      <x:c r="T217" s="1"/>
      <x:c r="U217" s="1"/>
      <x:c r="V217" s="1"/>
      <x:c r="W217" s="1"/>
    </x:row>
    <x:row r="218" ht="32" customHeight="1">
      <x:c r="A218" s="170"/>
      <x:c r="B218" s="179"/>
      <x:c r="C218" s="170"/>
      <x:c r="D218" s="170"/>
      <x:c r="E218" s="40" t="str">
        <x:f>IF($D218="","",IFERROR(INDEX(Lotes!$B$5:$B$204,MATCH($D218,Lotes!$A$5:$A$204,0)),""))</x:f>
      </x:c>
      <x:c r="F218" s="40" t="str">
        <x:f>IF($D218="","",IFERROR(INDEX(Lotes!$C$5:$C$204,MATCH($D218,Lotes!$A$5:$A$204,0)),""))</x:f>
      </x:c>
      <x:c r="G218" s="27"/>
      <x:c r="H218" s="40" t="str">
        <x:f>IF(A218="","",IF(O218&lt;&gt;"","n.a.",IF(OR(C218="Saída",C218="Perda",C218="Ajuste negativo"),-G218,G218)))</x:f>
      </x:c>
      <x:c r="I218" s="181" t="str">
        <x:f>IF($D218="","",IFERROR(INDEX(Lotes!$K$5:$K$204,MATCH($D218,Lotes!$A$5:$A$204,0)),0))</x:f>
      </x:c>
      <x:c r="J218" s="181" t="str">
        <x:f>IF(A218="","",IF(O218&lt;&gt;"","n.a.",ABS(H218)*I218))</x:f>
      </x:c>
      <x:c r="K218" s="27"/>
      <x:c r="L218" s="27"/>
      <x:c r="M218" s="27"/>
      <x:c r="N218" s="27"/>
      <x:c r="O218" s="163" t="str">
        <x:f>IF(COUNTA(A218:D218,G218,K218:N218)=0,"",IF(OR(A218="",COUNTIFS($A$5:$A$304,A218)&lt;&gt;1),"ID ausente ou duplicado",IF(OR(NOT(ISNUMBER(B218)),B218&lt;=0),"Data ausente ou inválida",IF(AND(C218&lt;&gt;"Entrada",C218&lt;&gt;"Saída",C218&lt;&gt;"Perda",C218&lt;&gt;"Ajuste positivo",C218&lt;&gt;"Ajuste negativo"),"Tipo de movimento inválido",IF(OR(D218="",COUNTIFS(Lotes!$A$5:$A$204,D218)&lt;&gt;1),"Lote ausente ou desconhecido",IF(COUNTIFS(Lotes!$A$5:$A$204,D218,Lotes!$S$5:$S$204,"?*")&gt;0,"Revisar cadastro do lote",IF(B218&lt;INDEX(Lotes!$E$5:$E$204,MATCH(D218,Lotes!$A$5:$A$204,0)),"Movimento anterior ao recebimento",IF(OR(NOT(ISNUMBER(G218)),G218&lt;=0),"Quantidade ausente ou inválida",""))))))))</x:f>
      </x:c>
      <x:c r="P218" s="163" t="n">
        <x:f>IF(O218="",0,1)</x:f>
        <x:v>0</x:v>
      </x:c>
      <x:c r="Q218" s="163" t="n">
        <x:f>IF(COUNTA(A218:D218,G218,K218:N218)=0,0,IF(OR(Listas!$B$19="Todos",E218=Listas!$B$19,E218="",COUNTIFS(Lotes!$A$5:$A$204,D218)&lt;&gt;1),1,0))</x:f>
        <x:v>0</x:v>
      </x:c>
      <x:c r="R218" s="1"/>
      <x:c r="S218" s="1"/>
      <x:c r="T218" s="1"/>
      <x:c r="U218" s="1"/>
      <x:c r="V218" s="1"/>
      <x:c r="W218" s="1"/>
    </x:row>
    <x:row r="219" ht="32" customHeight="1">
      <x:c r="A219" s="170"/>
      <x:c r="B219" s="179"/>
      <x:c r="C219" s="170"/>
      <x:c r="D219" s="170"/>
      <x:c r="E219" s="40" t="str">
        <x:f>IF($D219="","",IFERROR(INDEX(Lotes!$B$5:$B$204,MATCH($D219,Lotes!$A$5:$A$204,0)),""))</x:f>
      </x:c>
      <x:c r="F219" s="40" t="str">
        <x:f>IF($D219="","",IFERROR(INDEX(Lotes!$C$5:$C$204,MATCH($D219,Lotes!$A$5:$A$204,0)),""))</x:f>
      </x:c>
      <x:c r="G219" s="27"/>
      <x:c r="H219" s="40" t="str">
        <x:f>IF(A219="","",IF(O219&lt;&gt;"","n.a.",IF(OR(C219="Saída",C219="Perda",C219="Ajuste negativo"),-G219,G219)))</x:f>
      </x:c>
      <x:c r="I219" s="181" t="str">
        <x:f>IF($D219="","",IFERROR(INDEX(Lotes!$K$5:$K$204,MATCH($D219,Lotes!$A$5:$A$204,0)),0))</x:f>
      </x:c>
      <x:c r="J219" s="181" t="str">
        <x:f>IF(A219="","",IF(O219&lt;&gt;"","n.a.",ABS(H219)*I219))</x:f>
      </x:c>
      <x:c r="K219" s="27"/>
      <x:c r="L219" s="27"/>
      <x:c r="M219" s="27"/>
      <x:c r="N219" s="27"/>
      <x:c r="O219" s="163" t="str">
        <x:f>IF(COUNTA(A219:D219,G219,K219:N219)=0,"",IF(OR(A219="",COUNTIFS($A$5:$A$304,A219)&lt;&gt;1),"ID ausente ou duplicado",IF(OR(NOT(ISNUMBER(B219)),B219&lt;=0),"Data ausente ou inválida",IF(AND(C219&lt;&gt;"Entrada",C219&lt;&gt;"Saída",C219&lt;&gt;"Perda",C219&lt;&gt;"Ajuste positivo",C219&lt;&gt;"Ajuste negativo"),"Tipo de movimento inválido",IF(OR(D219="",COUNTIFS(Lotes!$A$5:$A$204,D219)&lt;&gt;1),"Lote ausente ou desconhecido",IF(COUNTIFS(Lotes!$A$5:$A$204,D219,Lotes!$S$5:$S$204,"?*")&gt;0,"Revisar cadastro do lote",IF(B219&lt;INDEX(Lotes!$E$5:$E$204,MATCH(D219,Lotes!$A$5:$A$204,0)),"Movimento anterior ao recebimento",IF(OR(NOT(ISNUMBER(G219)),G219&lt;=0),"Quantidade ausente ou inválida",""))))))))</x:f>
      </x:c>
      <x:c r="P219" s="163" t="n">
        <x:f>IF(O219="",0,1)</x:f>
        <x:v>0</x:v>
      </x:c>
      <x:c r="Q219" s="163" t="n">
        <x:f>IF(COUNTA(A219:D219,G219,K219:N219)=0,0,IF(OR(Listas!$B$19="Todos",E219=Listas!$B$19,E219="",COUNTIFS(Lotes!$A$5:$A$204,D219)&lt;&gt;1),1,0))</x:f>
        <x:v>0</x:v>
      </x:c>
      <x:c r="R219" s="1"/>
      <x:c r="S219" s="1"/>
      <x:c r="T219" s="1"/>
      <x:c r="U219" s="1"/>
      <x:c r="V219" s="1"/>
      <x:c r="W219" s="1"/>
    </x:row>
    <x:row r="220" ht="32" customHeight="1">
      <x:c r="A220" s="170"/>
      <x:c r="B220" s="179"/>
      <x:c r="C220" s="170"/>
      <x:c r="D220" s="170"/>
      <x:c r="E220" s="40" t="str">
        <x:f>IF($D220="","",IFERROR(INDEX(Lotes!$B$5:$B$204,MATCH($D220,Lotes!$A$5:$A$204,0)),""))</x:f>
      </x:c>
      <x:c r="F220" s="40" t="str">
        <x:f>IF($D220="","",IFERROR(INDEX(Lotes!$C$5:$C$204,MATCH($D220,Lotes!$A$5:$A$204,0)),""))</x:f>
      </x:c>
      <x:c r="G220" s="27"/>
      <x:c r="H220" s="40" t="str">
        <x:f>IF(A220="","",IF(O220&lt;&gt;"","n.a.",IF(OR(C220="Saída",C220="Perda",C220="Ajuste negativo"),-G220,G220)))</x:f>
      </x:c>
      <x:c r="I220" s="181" t="str">
        <x:f>IF($D220="","",IFERROR(INDEX(Lotes!$K$5:$K$204,MATCH($D220,Lotes!$A$5:$A$204,0)),0))</x:f>
      </x:c>
      <x:c r="J220" s="181" t="str">
        <x:f>IF(A220="","",IF(O220&lt;&gt;"","n.a.",ABS(H220)*I220))</x:f>
      </x:c>
      <x:c r="K220" s="27"/>
      <x:c r="L220" s="27"/>
      <x:c r="M220" s="27"/>
      <x:c r="N220" s="27"/>
      <x:c r="O220" s="163" t="str">
        <x:f>IF(COUNTA(A220:D220,G220,K220:N220)=0,"",IF(OR(A220="",COUNTIFS($A$5:$A$304,A220)&lt;&gt;1),"ID ausente ou duplicado",IF(OR(NOT(ISNUMBER(B220)),B220&lt;=0),"Data ausente ou inválida",IF(AND(C220&lt;&gt;"Entrada",C220&lt;&gt;"Saída",C220&lt;&gt;"Perda",C220&lt;&gt;"Ajuste positivo",C220&lt;&gt;"Ajuste negativo"),"Tipo de movimento inválido",IF(OR(D220="",COUNTIFS(Lotes!$A$5:$A$204,D220)&lt;&gt;1),"Lote ausente ou desconhecido",IF(COUNTIFS(Lotes!$A$5:$A$204,D220,Lotes!$S$5:$S$204,"?*")&gt;0,"Revisar cadastro do lote",IF(B220&lt;INDEX(Lotes!$E$5:$E$204,MATCH(D220,Lotes!$A$5:$A$204,0)),"Movimento anterior ao recebimento",IF(OR(NOT(ISNUMBER(G220)),G220&lt;=0),"Quantidade ausente ou inválida",""))))))))</x:f>
      </x:c>
      <x:c r="P220" s="163" t="n">
        <x:f>IF(O220="",0,1)</x:f>
        <x:v>0</x:v>
      </x:c>
      <x:c r="Q220" s="163" t="n">
        <x:f>IF(COUNTA(A220:D220,G220,K220:N220)=0,0,IF(OR(Listas!$B$19="Todos",E220=Listas!$B$19,E220="",COUNTIFS(Lotes!$A$5:$A$204,D220)&lt;&gt;1),1,0))</x:f>
        <x:v>0</x:v>
      </x:c>
      <x:c r="R220" s="1"/>
      <x:c r="S220" s="1"/>
      <x:c r="T220" s="1"/>
      <x:c r="U220" s="1"/>
      <x:c r="V220" s="1"/>
      <x:c r="W220" s="1"/>
    </x:row>
    <x:row r="221" ht="32" customHeight="1">
      <x:c r="A221" s="170"/>
      <x:c r="B221" s="179"/>
      <x:c r="C221" s="170"/>
      <x:c r="D221" s="170"/>
      <x:c r="E221" s="40" t="str">
        <x:f>IF($D221="","",IFERROR(INDEX(Lotes!$B$5:$B$204,MATCH($D221,Lotes!$A$5:$A$204,0)),""))</x:f>
      </x:c>
      <x:c r="F221" s="40" t="str">
        <x:f>IF($D221="","",IFERROR(INDEX(Lotes!$C$5:$C$204,MATCH($D221,Lotes!$A$5:$A$204,0)),""))</x:f>
      </x:c>
      <x:c r="G221" s="27"/>
      <x:c r="H221" s="40" t="str">
        <x:f>IF(A221="","",IF(O221&lt;&gt;"","n.a.",IF(OR(C221="Saída",C221="Perda",C221="Ajuste negativo"),-G221,G221)))</x:f>
      </x:c>
      <x:c r="I221" s="181" t="str">
        <x:f>IF($D221="","",IFERROR(INDEX(Lotes!$K$5:$K$204,MATCH($D221,Lotes!$A$5:$A$204,0)),0))</x:f>
      </x:c>
      <x:c r="J221" s="181" t="str">
        <x:f>IF(A221="","",IF(O221&lt;&gt;"","n.a.",ABS(H221)*I221))</x:f>
      </x:c>
      <x:c r="K221" s="27"/>
      <x:c r="L221" s="27"/>
      <x:c r="M221" s="27"/>
      <x:c r="N221" s="27"/>
      <x:c r="O221" s="163" t="str">
        <x:f>IF(COUNTA(A221:D221,G221,K221:N221)=0,"",IF(OR(A221="",COUNTIFS($A$5:$A$304,A221)&lt;&gt;1),"ID ausente ou duplicado",IF(OR(NOT(ISNUMBER(B221)),B221&lt;=0),"Data ausente ou inválida",IF(AND(C221&lt;&gt;"Entrada",C221&lt;&gt;"Saída",C221&lt;&gt;"Perda",C221&lt;&gt;"Ajuste positivo",C221&lt;&gt;"Ajuste negativo"),"Tipo de movimento inválido",IF(OR(D221="",COUNTIFS(Lotes!$A$5:$A$204,D221)&lt;&gt;1),"Lote ausente ou desconhecido",IF(COUNTIFS(Lotes!$A$5:$A$204,D221,Lotes!$S$5:$S$204,"?*")&gt;0,"Revisar cadastro do lote",IF(B221&lt;INDEX(Lotes!$E$5:$E$204,MATCH(D221,Lotes!$A$5:$A$204,0)),"Movimento anterior ao recebimento",IF(OR(NOT(ISNUMBER(G221)),G221&lt;=0),"Quantidade ausente ou inválida",""))))))))</x:f>
      </x:c>
      <x:c r="P221" s="163" t="n">
        <x:f>IF(O221="",0,1)</x:f>
        <x:v>0</x:v>
      </x:c>
      <x:c r="Q221" s="163" t="n">
        <x:f>IF(COUNTA(A221:D221,G221,K221:N221)=0,0,IF(OR(Listas!$B$19="Todos",E221=Listas!$B$19,E221="",COUNTIFS(Lotes!$A$5:$A$204,D221)&lt;&gt;1),1,0))</x:f>
        <x:v>0</x:v>
      </x:c>
      <x:c r="R221" s="1"/>
      <x:c r="S221" s="1"/>
      <x:c r="T221" s="1"/>
      <x:c r="U221" s="1"/>
      <x:c r="V221" s="1"/>
      <x:c r="W221" s="1"/>
    </x:row>
    <x:row r="222" ht="32" customHeight="1">
      <x:c r="A222" s="170"/>
      <x:c r="B222" s="179"/>
      <x:c r="C222" s="170"/>
      <x:c r="D222" s="170"/>
      <x:c r="E222" s="40" t="str">
        <x:f>IF($D222="","",IFERROR(INDEX(Lotes!$B$5:$B$204,MATCH($D222,Lotes!$A$5:$A$204,0)),""))</x:f>
      </x:c>
      <x:c r="F222" s="40" t="str">
        <x:f>IF($D222="","",IFERROR(INDEX(Lotes!$C$5:$C$204,MATCH($D222,Lotes!$A$5:$A$204,0)),""))</x:f>
      </x:c>
      <x:c r="G222" s="27"/>
      <x:c r="H222" s="40" t="str">
        <x:f>IF(A222="","",IF(O222&lt;&gt;"","n.a.",IF(OR(C222="Saída",C222="Perda",C222="Ajuste negativo"),-G222,G222)))</x:f>
      </x:c>
      <x:c r="I222" s="181" t="str">
        <x:f>IF($D222="","",IFERROR(INDEX(Lotes!$K$5:$K$204,MATCH($D222,Lotes!$A$5:$A$204,0)),0))</x:f>
      </x:c>
      <x:c r="J222" s="181" t="str">
        <x:f>IF(A222="","",IF(O222&lt;&gt;"","n.a.",ABS(H222)*I222))</x:f>
      </x:c>
      <x:c r="K222" s="27"/>
      <x:c r="L222" s="27"/>
      <x:c r="M222" s="27"/>
      <x:c r="N222" s="27"/>
      <x:c r="O222" s="163" t="str">
        <x:f>IF(COUNTA(A222:D222,G222,K222:N222)=0,"",IF(OR(A222="",COUNTIFS($A$5:$A$304,A222)&lt;&gt;1),"ID ausente ou duplicado",IF(OR(NOT(ISNUMBER(B222)),B222&lt;=0),"Data ausente ou inválida",IF(AND(C222&lt;&gt;"Entrada",C222&lt;&gt;"Saída",C222&lt;&gt;"Perda",C222&lt;&gt;"Ajuste positivo",C222&lt;&gt;"Ajuste negativo"),"Tipo de movimento inválido",IF(OR(D222="",COUNTIFS(Lotes!$A$5:$A$204,D222)&lt;&gt;1),"Lote ausente ou desconhecido",IF(COUNTIFS(Lotes!$A$5:$A$204,D222,Lotes!$S$5:$S$204,"?*")&gt;0,"Revisar cadastro do lote",IF(B222&lt;INDEX(Lotes!$E$5:$E$204,MATCH(D222,Lotes!$A$5:$A$204,0)),"Movimento anterior ao recebimento",IF(OR(NOT(ISNUMBER(G222)),G222&lt;=0),"Quantidade ausente ou inválida",""))))))))</x:f>
      </x:c>
      <x:c r="P222" s="163" t="n">
        <x:f>IF(O222="",0,1)</x:f>
        <x:v>0</x:v>
      </x:c>
      <x:c r="Q222" s="163" t="n">
        <x:f>IF(COUNTA(A222:D222,G222,K222:N222)=0,0,IF(OR(Listas!$B$19="Todos",E222=Listas!$B$19,E222="",COUNTIFS(Lotes!$A$5:$A$204,D222)&lt;&gt;1),1,0))</x:f>
        <x:v>0</x:v>
      </x:c>
      <x:c r="R222" s="1"/>
      <x:c r="S222" s="1"/>
      <x:c r="T222" s="1"/>
      <x:c r="U222" s="1"/>
      <x:c r="V222" s="1"/>
      <x:c r="W222" s="1"/>
    </x:row>
    <x:row r="223" ht="32" customHeight="1">
      <x:c r="A223" s="170"/>
      <x:c r="B223" s="179"/>
      <x:c r="C223" s="170"/>
      <x:c r="D223" s="170"/>
      <x:c r="E223" s="40" t="str">
        <x:f>IF($D223="","",IFERROR(INDEX(Lotes!$B$5:$B$204,MATCH($D223,Lotes!$A$5:$A$204,0)),""))</x:f>
      </x:c>
      <x:c r="F223" s="40" t="str">
        <x:f>IF($D223="","",IFERROR(INDEX(Lotes!$C$5:$C$204,MATCH($D223,Lotes!$A$5:$A$204,0)),""))</x:f>
      </x:c>
      <x:c r="G223" s="27"/>
      <x:c r="H223" s="40" t="str">
        <x:f>IF(A223="","",IF(O223&lt;&gt;"","n.a.",IF(OR(C223="Saída",C223="Perda",C223="Ajuste negativo"),-G223,G223)))</x:f>
      </x:c>
      <x:c r="I223" s="181" t="str">
        <x:f>IF($D223="","",IFERROR(INDEX(Lotes!$K$5:$K$204,MATCH($D223,Lotes!$A$5:$A$204,0)),0))</x:f>
      </x:c>
      <x:c r="J223" s="181" t="str">
        <x:f>IF(A223="","",IF(O223&lt;&gt;"","n.a.",ABS(H223)*I223))</x:f>
      </x:c>
      <x:c r="K223" s="27"/>
      <x:c r="L223" s="27"/>
      <x:c r="M223" s="27"/>
      <x:c r="N223" s="27"/>
      <x:c r="O223" s="163" t="str">
        <x:f>IF(COUNTA(A223:D223,G223,K223:N223)=0,"",IF(OR(A223="",COUNTIFS($A$5:$A$304,A223)&lt;&gt;1),"ID ausente ou duplicado",IF(OR(NOT(ISNUMBER(B223)),B223&lt;=0),"Data ausente ou inválida",IF(AND(C223&lt;&gt;"Entrada",C223&lt;&gt;"Saída",C223&lt;&gt;"Perda",C223&lt;&gt;"Ajuste positivo",C223&lt;&gt;"Ajuste negativo"),"Tipo de movimento inválido",IF(OR(D223="",COUNTIFS(Lotes!$A$5:$A$204,D223)&lt;&gt;1),"Lote ausente ou desconhecido",IF(COUNTIFS(Lotes!$A$5:$A$204,D223,Lotes!$S$5:$S$204,"?*")&gt;0,"Revisar cadastro do lote",IF(B223&lt;INDEX(Lotes!$E$5:$E$204,MATCH(D223,Lotes!$A$5:$A$204,0)),"Movimento anterior ao recebimento",IF(OR(NOT(ISNUMBER(G223)),G223&lt;=0),"Quantidade ausente ou inválida",""))))))))</x:f>
      </x:c>
      <x:c r="P223" s="163" t="n">
        <x:f>IF(O223="",0,1)</x:f>
        <x:v>0</x:v>
      </x:c>
      <x:c r="Q223" s="163" t="n">
        <x:f>IF(COUNTA(A223:D223,G223,K223:N223)=0,0,IF(OR(Listas!$B$19="Todos",E223=Listas!$B$19,E223="",COUNTIFS(Lotes!$A$5:$A$204,D223)&lt;&gt;1),1,0))</x:f>
        <x:v>0</x:v>
      </x:c>
      <x:c r="R223" s="1"/>
      <x:c r="S223" s="1"/>
      <x:c r="T223" s="1"/>
      <x:c r="U223" s="1"/>
      <x:c r="V223" s="1"/>
      <x:c r="W223" s="1"/>
    </x:row>
    <x:row r="224" ht="32" customHeight="1">
      <x:c r="A224" s="170"/>
      <x:c r="B224" s="179"/>
      <x:c r="C224" s="170"/>
      <x:c r="D224" s="170"/>
      <x:c r="E224" s="40" t="str">
        <x:f>IF($D224="","",IFERROR(INDEX(Lotes!$B$5:$B$204,MATCH($D224,Lotes!$A$5:$A$204,0)),""))</x:f>
      </x:c>
      <x:c r="F224" s="40" t="str">
        <x:f>IF($D224="","",IFERROR(INDEX(Lotes!$C$5:$C$204,MATCH($D224,Lotes!$A$5:$A$204,0)),""))</x:f>
      </x:c>
      <x:c r="G224" s="27"/>
      <x:c r="H224" s="40" t="str">
        <x:f>IF(A224="","",IF(O224&lt;&gt;"","n.a.",IF(OR(C224="Saída",C224="Perda",C224="Ajuste negativo"),-G224,G224)))</x:f>
      </x:c>
      <x:c r="I224" s="181" t="str">
        <x:f>IF($D224="","",IFERROR(INDEX(Lotes!$K$5:$K$204,MATCH($D224,Lotes!$A$5:$A$204,0)),0))</x:f>
      </x:c>
      <x:c r="J224" s="181" t="str">
        <x:f>IF(A224="","",IF(O224&lt;&gt;"","n.a.",ABS(H224)*I224))</x:f>
      </x:c>
      <x:c r="K224" s="27"/>
      <x:c r="L224" s="27"/>
      <x:c r="M224" s="27"/>
      <x:c r="N224" s="27"/>
      <x:c r="O224" s="163" t="str">
        <x:f>IF(COUNTA(A224:D224,G224,K224:N224)=0,"",IF(OR(A224="",COUNTIFS($A$5:$A$304,A224)&lt;&gt;1),"ID ausente ou duplicado",IF(OR(NOT(ISNUMBER(B224)),B224&lt;=0),"Data ausente ou inválida",IF(AND(C224&lt;&gt;"Entrada",C224&lt;&gt;"Saída",C224&lt;&gt;"Perda",C224&lt;&gt;"Ajuste positivo",C224&lt;&gt;"Ajuste negativo"),"Tipo de movimento inválido",IF(OR(D224="",COUNTIFS(Lotes!$A$5:$A$204,D224)&lt;&gt;1),"Lote ausente ou desconhecido",IF(COUNTIFS(Lotes!$A$5:$A$204,D224,Lotes!$S$5:$S$204,"?*")&gt;0,"Revisar cadastro do lote",IF(B224&lt;INDEX(Lotes!$E$5:$E$204,MATCH(D224,Lotes!$A$5:$A$204,0)),"Movimento anterior ao recebimento",IF(OR(NOT(ISNUMBER(G224)),G224&lt;=0),"Quantidade ausente ou inválida",""))))))))</x:f>
      </x:c>
      <x:c r="P224" s="163" t="n">
        <x:f>IF(O224="",0,1)</x:f>
        <x:v>0</x:v>
      </x:c>
      <x:c r="Q224" s="163" t="n">
        <x:f>IF(COUNTA(A224:D224,G224,K224:N224)=0,0,IF(OR(Listas!$B$19="Todos",E224=Listas!$B$19,E224="",COUNTIFS(Lotes!$A$5:$A$204,D224)&lt;&gt;1),1,0))</x:f>
        <x:v>0</x:v>
      </x:c>
      <x:c r="R224" s="1"/>
      <x:c r="S224" s="1"/>
      <x:c r="T224" s="1"/>
      <x:c r="U224" s="1"/>
      <x:c r="V224" s="1"/>
      <x:c r="W224" s="1"/>
    </x:row>
    <x:row r="225" ht="32" customHeight="1">
      <x:c r="A225" s="170"/>
      <x:c r="B225" s="179"/>
      <x:c r="C225" s="170"/>
      <x:c r="D225" s="170"/>
      <x:c r="E225" s="40" t="str">
        <x:f>IF($D225="","",IFERROR(INDEX(Lotes!$B$5:$B$204,MATCH($D225,Lotes!$A$5:$A$204,0)),""))</x:f>
      </x:c>
      <x:c r="F225" s="40" t="str">
        <x:f>IF($D225="","",IFERROR(INDEX(Lotes!$C$5:$C$204,MATCH($D225,Lotes!$A$5:$A$204,0)),""))</x:f>
      </x:c>
      <x:c r="G225" s="27"/>
      <x:c r="H225" s="40" t="str">
        <x:f>IF(A225="","",IF(O225&lt;&gt;"","n.a.",IF(OR(C225="Saída",C225="Perda",C225="Ajuste negativo"),-G225,G225)))</x:f>
      </x:c>
      <x:c r="I225" s="181" t="str">
        <x:f>IF($D225="","",IFERROR(INDEX(Lotes!$K$5:$K$204,MATCH($D225,Lotes!$A$5:$A$204,0)),0))</x:f>
      </x:c>
      <x:c r="J225" s="181" t="str">
        <x:f>IF(A225="","",IF(O225&lt;&gt;"","n.a.",ABS(H225)*I225))</x:f>
      </x:c>
      <x:c r="K225" s="27"/>
      <x:c r="L225" s="27"/>
      <x:c r="M225" s="27"/>
      <x:c r="N225" s="27"/>
      <x:c r="O225" s="163" t="str">
        <x:f>IF(COUNTA(A225:D225,G225,K225:N225)=0,"",IF(OR(A225="",COUNTIFS($A$5:$A$304,A225)&lt;&gt;1),"ID ausente ou duplicado",IF(OR(NOT(ISNUMBER(B225)),B225&lt;=0),"Data ausente ou inválida",IF(AND(C225&lt;&gt;"Entrada",C225&lt;&gt;"Saída",C225&lt;&gt;"Perda",C225&lt;&gt;"Ajuste positivo",C225&lt;&gt;"Ajuste negativo"),"Tipo de movimento inválido",IF(OR(D225="",COUNTIFS(Lotes!$A$5:$A$204,D225)&lt;&gt;1),"Lote ausente ou desconhecido",IF(COUNTIFS(Lotes!$A$5:$A$204,D225,Lotes!$S$5:$S$204,"?*")&gt;0,"Revisar cadastro do lote",IF(B225&lt;INDEX(Lotes!$E$5:$E$204,MATCH(D225,Lotes!$A$5:$A$204,0)),"Movimento anterior ao recebimento",IF(OR(NOT(ISNUMBER(G225)),G225&lt;=0),"Quantidade ausente ou inválida",""))))))))</x:f>
      </x:c>
      <x:c r="P225" s="163" t="n">
        <x:f>IF(O225="",0,1)</x:f>
        <x:v>0</x:v>
      </x:c>
      <x:c r="Q225" s="163" t="n">
        <x:f>IF(COUNTA(A225:D225,G225,K225:N225)=0,0,IF(OR(Listas!$B$19="Todos",E225=Listas!$B$19,E225="",COUNTIFS(Lotes!$A$5:$A$204,D225)&lt;&gt;1),1,0))</x:f>
        <x:v>0</x:v>
      </x:c>
      <x:c r="R225" s="1"/>
      <x:c r="S225" s="1"/>
      <x:c r="T225" s="1"/>
      <x:c r="U225" s="1"/>
      <x:c r="V225" s="1"/>
      <x:c r="W225" s="1"/>
    </x:row>
    <x:row r="226" ht="32" customHeight="1">
      <x:c r="A226" s="170"/>
      <x:c r="B226" s="179"/>
      <x:c r="C226" s="170"/>
      <x:c r="D226" s="170"/>
      <x:c r="E226" s="40" t="str">
        <x:f>IF($D226="","",IFERROR(INDEX(Lotes!$B$5:$B$204,MATCH($D226,Lotes!$A$5:$A$204,0)),""))</x:f>
      </x:c>
      <x:c r="F226" s="40" t="str">
        <x:f>IF($D226="","",IFERROR(INDEX(Lotes!$C$5:$C$204,MATCH($D226,Lotes!$A$5:$A$204,0)),""))</x:f>
      </x:c>
      <x:c r="G226" s="27"/>
      <x:c r="H226" s="40" t="str">
        <x:f>IF(A226="","",IF(O226&lt;&gt;"","n.a.",IF(OR(C226="Saída",C226="Perda",C226="Ajuste negativo"),-G226,G226)))</x:f>
      </x:c>
      <x:c r="I226" s="181" t="str">
        <x:f>IF($D226="","",IFERROR(INDEX(Lotes!$K$5:$K$204,MATCH($D226,Lotes!$A$5:$A$204,0)),0))</x:f>
      </x:c>
      <x:c r="J226" s="181" t="str">
        <x:f>IF(A226="","",IF(O226&lt;&gt;"","n.a.",ABS(H226)*I226))</x:f>
      </x:c>
      <x:c r="K226" s="27"/>
      <x:c r="L226" s="27"/>
      <x:c r="M226" s="27"/>
      <x:c r="N226" s="27"/>
      <x:c r="O226" s="163" t="str">
        <x:f>IF(COUNTA(A226:D226,G226,K226:N226)=0,"",IF(OR(A226="",COUNTIFS($A$5:$A$304,A226)&lt;&gt;1),"ID ausente ou duplicado",IF(OR(NOT(ISNUMBER(B226)),B226&lt;=0),"Data ausente ou inválida",IF(AND(C226&lt;&gt;"Entrada",C226&lt;&gt;"Saída",C226&lt;&gt;"Perda",C226&lt;&gt;"Ajuste positivo",C226&lt;&gt;"Ajuste negativo"),"Tipo de movimento inválido",IF(OR(D226="",COUNTIFS(Lotes!$A$5:$A$204,D226)&lt;&gt;1),"Lote ausente ou desconhecido",IF(COUNTIFS(Lotes!$A$5:$A$204,D226,Lotes!$S$5:$S$204,"?*")&gt;0,"Revisar cadastro do lote",IF(B226&lt;INDEX(Lotes!$E$5:$E$204,MATCH(D226,Lotes!$A$5:$A$204,0)),"Movimento anterior ao recebimento",IF(OR(NOT(ISNUMBER(G226)),G226&lt;=0),"Quantidade ausente ou inválida",""))))))))</x:f>
      </x:c>
      <x:c r="P226" s="163" t="n">
        <x:f>IF(O226="",0,1)</x:f>
        <x:v>0</x:v>
      </x:c>
      <x:c r="Q226" s="163" t="n">
        <x:f>IF(COUNTA(A226:D226,G226,K226:N226)=0,0,IF(OR(Listas!$B$19="Todos",E226=Listas!$B$19,E226="",COUNTIFS(Lotes!$A$5:$A$204,D226)&lt;&gt;1),1,0))</x:f>
        <x:v>0</x:v>
      </x:c>
      <x:c r="R226" s="1"/>
      <x:c r="S226" s="1"/>
      <x:c r="T226" s="1"/>
      <x:c r="U226" s="1"/>
      <x:c r="V226" s="1"/>
      <x:c r="W226" s="1"/>
    </x:row>
    <x:row r="227" ht="32" customHeight="1">
      <x:c r="A227" s="170"/>
      <x:c r="B227" s="179"/>
      <x:c r="C227" s="170"/>
      <x:c r="D227" s="170"/>
      <x:c r="E227" s="40" t="str">
        <x:f>IF($D227="","",IFERROR(INDEX(Lotes!$B$5:$B$204,MATCH($D227,Lotes!$A$5:$A$204,0)),""))</x:f>
      </x:c>
      <x:c r="F227" s="40" t="str">
        <x:f>IF($D227="","",IFERROR(INDEX(Lotes!$C$5:$C$204,MATCH($D227,Lotes!$A$5:$A$204,0)),""))</x:f>
      </x:c>
      <x:c r="G227" s="27"/>
      <x:c r="H227" s="40" t="str">
        <x:f>IF(A227="","",IF(O227&lt;&gt;"","n.a.",IF(OR(C227="Saída",C227="Perda",C227="Ajuste negativo"),-G227,G227)))</x:f>
      </x:c>
      <x:c r="I227" s="181" t="str">
        <x:f>IF($D227="","",IFERROR(INDEX(Lotes!$K$5:$K$204,MATCH($D227,Lotes!$A$5:$A$204,0)),0))</x:f>
      </x:c>
      <x:c r="J227" s="181" t="str">
        <x:f>IF(A227="","",IF(O227&lt;&gt;"","n.a.",ABS(H227)*I227))</x:f>
      </x:c>
      <x:c r="K227" s="27"/>
      <x:c r="L227" s="27"/>
      <x:c r="M227" s="27"/>
      <x:c r="N227" s="27"/>
      <x:c r="O227" s="163" t="str">
        <x:f>IF(COUNTA(A227:D227,G227,K227:N227)=0,"",IF(OR(A227="",COUNTIFS($A$5:$A$304,A227)&lt;&gt;1),"ID ausente ou duplicado",IF(OR(NOT(ISNUMBER(B227)),B227&lt;=0),"Data ausente ou inválida",IF(AND(C227&lt;&gt;"Entrada",C227&lt;&gt;"Saída",C227&lt;&gt;"Perda",C227&lt;&gt;"Ajuste positivo",C227&lt;&gt;"Ajuste negativo"),"Tipo de movimento inválido",IF(OR(D227="",COUNTIFS(Lotes!$A$5:$A$204,D227)&lt;&gt;1),"Lote ausente ou desconhecido",IF(COUNTIFS(Lotes!$A$5:$A$204,D227,Lotes!$S$5:$S$204,"?*")&gt;0,"Revisar cadastro do lote",IF(B227&lt;INDEX(Lotes!$E$5:$E$204,MATCH(D227,Lotes!$A$5:$A$204,0)),"Movimento anterior ao recebimento",IF(OR(NOT(ISNUMBER(G227)),G227&lt;=0),"Quantidade ausente ou inválida",""))))))))</x:f>
      </x:c>
      <x:c r="P227" s="163" t="n">
        <x:f>IF(O227="",0,1)</x:f>
        <x:v>0</x:v>
      </x:c>
      <x:c r="Q227" s="163" t="n">
        <x:f>IF(COUNTA(A227:D227,G227,K227:N227)=0,0,IF(OR(Listas!$B$19="Todos",E227=Listas!$B$19,E227="",COUNTIFS(Lotes!$A$5:$A$204,D227)&lt;&gt;1),1,0))</x:f>
        <x:v>0</x:v>
      </x:c>
      <x:c r="R227" s="1"/>
      <x:c r="S227" s="1"/>
      <x:c r="T227" s="1"/>
      <x:c r="U227" s="1"/>
      <x:c r="V227" s="1"/>
      <x:c r="W227" s="1"/>
    </x:row>
    <x:row r="228" ht="32" customHeight="1">
      <x:c r="A228" s="170"/>
      <x:c r="B228" s="179"/>
      <x:c r="C228" s="170"/>
      <x:c r="D228" s="170"/>
      <x:c r="E228" s="40" t="str">
        <x:f>IF($D228="","",IFERROR(INDEX(Lotes!$B$5:$B$204,MATCH($D228,Lotes!$A$5:$A$204,0)),""))</x:f>
      </x:c>
      <x:c r="F228" s="40" t="str">
        <x:f>IF($D228="","",IFERROR(INDEX(Lotes!$C$5:$C$204,MATCH($D228,Lotes!$A$5:$A$204,0)),""))</x:f>
      </x:c>
      <x:c r="G228" s="27"/>
      <x:c r="H228" s="40" t="str">
        <x:f>IF(A228="","",IF(O228&lt;&gt;"","n.a.",IF(OR(C228="Saída",C228="Perda",C228="Ajuste negativo"),-G228,G228)))</x:f>
      </x:c>
      <x:c r="I228" s="181" t="str">
        <x:f>IF($D228="","",IFERROR(INDEX(Lotes!$K$5:$K$204,MATCH($D228,Lotes!$A$5:$A$204,0)),0))</x:f>
      </x:c>
      <x:c r="J228" s="181" t="str">
        <x:f>IF(A228="","",IF(O228&lt;&gt;"","n.a.",ABS(H228)*I228))</x:f>
      </x:c>
      <x:c r="K228" s="27"/>
      <x:c r="L228" s="27"/>
      <x:c r="M228" s="27"/>
      <x:c r="N228" s="27"/>
      <x:c r="O228" s="163" t="str">
        <x:f>IF(COUNTA(A228:D228,G228,K228:N228)=0,"",IF(OR(A228="",COUNTIFS($A$5:$A$304,A228)&lt;&gt;1),"ID ausente ou duplicado",IF(OR(NOT(ISNUMBER(B228)),B228&lt;=0),"Data ausente ou inválida",IF(AND(C228&lt;&gt;"Entrada",C228&lt;&gt;"Saída",C228&lt;&gt;"Perda",C228&lt;&gt;"Ajuste positivo",C228&lt;&gt;"Ajuste negativo"),"Tipo de movimento inválido",IF(OR(D228="",COUNTIFS(Lotes!$A$5:$A$204,D228)&lt;&gt;1),"Lote ausente ou desconhecido",IF(COUNTIFS(Lotes!$A$5:$A$204,D228,Lotes!$S$5:$S$204,"?*")&gt;0,"Revisar cadastro do lote",IF(B228&lt;INDEX(Lotes!$E$5:$E$204,MATCH(D228,Lotes!$A$5:$A$204,0)),"Movimento anterior ao recebimento",IF(OR(NOT(ISNUMBER(G228)),G228&lt;=0),"Quantidade ausente ou inválida",""))))))))</x:f>
      </x:c>
      <x:c r="P228" s="163" t="n">
        <x:f>IF(O228="",0,1)</x:f>
        <x:v>0</x:v>
      </x:c>
      <x:c r="Q228" s="163" t="n">
        <x:f>IF(COUNTA(A228:D228,G228,K228:N228)=0,0,IF(OR(Listas!$B$19="Todos",E228=Listas!$B$19,E228="",COUNTIFS(Lotes!$A$5:$A$204,D228)&lt;&gt;1),1,0))</x:f>
        <x:v>0</x:v>
      </x:c>
      <x:c r="R228" s="1"/>
      <x:c r="S228" s="1"/>
      <x:c r="T228" s="1"/>
      <x:c r="U228" s="1"/>
      <x:c r="V228" s="1"/>
      <x:c r="W228" s="1"/>
    </x:row>
    <x:row r="229" ht="32" customHeight="1">
      <x:c r="A229" s="170"/>
      <x:c r="B229" s="179"/>
      <x:c r="C229" s="170"/>
      <x:c r="D229" s="170"/>
      <x:c r="E229" s="40" t="str">
        <x:f>IF($D229="","",IFERROR(INDEX(Lotes!$B$5:$B$204,MATCH($D229,Lotes!$A$5:$A$204,0)),""))</x:f>
      </x:c>
      <x:c r="F229" s="40" t="str">
        <x:f>IF($D229="","",IFERROR(INDEX(Lotes!$C$5:$C$204,MATCH($D229,Lotes!$A$5:$A$204,0)),""))</x:f>
      </x:c>
      <x:c r="G229" s="27"/>
      <x:c r="H229" s="40" t="str">
        <x:f>IF(A229="","",IF(O229&lt;&gt;"","n.a.",IF(OR(C229="Saída",C229="Perda",C229="Ajuste negativo"),-G229,G229)))</x:f>
      </x:c>
      <x:c r="I229" s="181" t="str">
        <x:f>IF($D229="","",IFERROR(INDEX(Lotes!$K$5:$K$204,MATCH($D229,Lotes!$A$5:$A$204,0)),0))</x:f>
      </x:c>
      <x:c r="J229" s="181" t="str">
        <x:f>IF(A229="","",IF(O229&lt;&gt;"","n.a.",ABS(H229)*I229))</x:f>
      </x:c>
      <x:c r="K229" s="27"/>
      <x:c r="L229" s="27"/>
      <x:c r="M229" s="27"/>
      <x:c r="N229" s="27"/>
      <x:c r="O229" s="163" t="str">
        <x:f>IF(COUNTA(A229:D229,G229,K229:N229)=0,"",IF(OR(A229="",COUNTIFS($A$5:$A$304,A229)&lt;&gt;1),"ID ausente ou duplicado",IF(OR(NOT(ISNUMBER(B229)),B229&lt;=0),"Data ausente ou inválida",IF(AND(C229&lt;&gt;"Entrada",C229&lt;&gt;"Saída",C229&lt;&gt;"Perda",C229&lt;&gt;"Ajuste positivo",C229&lt;&gt;"Ajuste negativo"),"Tipo de movimento inválido",IF(OR(D229="",COUNTIFS(Lotes!$A$5:$A$204,D229)&lt;&gt;1),"Lote ausente ou desconhecido",IF(COUNTIFS(Lotes!$A$5:$A$204,D229,Lotes!$S$5:$S$204,"?*")&gt;0,"Revisar cadastro do lote",IF(B229&lt;INDEX(Lotes!$E$5:$E$204,MATCH(D229,Lotes!$A$5:$A$204,0)),"Movimento anterior ao recebimento",IF(OR(NOT(ISNUMBER(G229)),G229&lt;=0),"Quantidade ausente ou inválida",""))))))))</x:f>
      </x:c>
      <x:c r="P229" s="163" t="n">
        <x:f>IF(O229="",0,1)</x:f>
        <x:v>0</x:v>
      </x:c>
      <x:c r="Q229" s="163" t="n">
        <x:f>IF(COUNTA(A229:D229,G229,K229:N229)=0,0,IF(OR(Listas!$B$19="Todos",E229=Listas!$B$19,E229="",COUNTIFS(Lotes!$A$5:$A$204,D229)&lt;&gt;1),1,0))</x:f>
        <x:v>0</x:v>
      </x:c>
      <x:c r="R229" s="1"/>
      <x:c r="S229" s="1"/>
      <x:c r="T229" s="1"/>
      <x:c r="U229" s="1"/>
      <x:c r="V229" s="1"/>
      <x:c r="W229" s="1"/>
    </x:row>
    <x:row r="230" ht="32" customHeight="1">
      <x:c r="A230" s="170"/>
      <x:c r="B230" s="179"/>
      <x:c r="C230" s="170"/>
      <x:c r="D230" s="170"/>
      <x:c r="E230" s="40" t="str">
        <x:f>IF($D230="","",IFERROR(INDEX(Lotes!$B$5:$B$204,MATCH($D230,Lotes!$A$5:$A$204,0)),""))</x:f>
      </x:c>
      <x:c r="F230" s="40" t="str">
        <x:f>IF($D230="","",IFERROR(INDEX(Lotes!$C$5:$C$204,MATCH($D230,Lotes!$A$5:$A$204,0)),""))</x:f>
      </x:c>
      <x:c r="G230" s="27"/>
      <x:c r="H230" s="40" t="str">
        <x:f>IF(A230="","",IF(O230&lt;&gt;"","n.a.",IF(OR(C230="Saída",C230="Perda",C230="Ajuste negativo"),-G230,G230)))</x:f>
      </x:c>
      <x:c r="I230" s="181" t="str">
        <x:f>IF($D230="","",IFERROR(INDEX(Lotes!$K$5:$K$204,MATCH($D230,Lotes!$A$5:$A$204,0)),0))</x:f>
      </x:c>
      <x:c r="J230" s="181" t="str">
        <x:f>IF(A230="","",IF(O230&lt;&gt;"","n.a.",ABS(H230)*I230))</x:f>
      </x:c>
      <x:c r="K230" s="27"/>
      <x:c r="L230" s="27"/>
      <x:c r="M230" s="27"/>
      <x:c r="N230" s="27"/>
      <x:c r="O230" s="163" t="str">
        <x:f>IF(COUNTA(A230:D230,G230,K230:N230)=0,"",IF(OR(A230="",COUNTIFS($A$5:$A$304,A230)&lt;&gt;1),"ID ausente ou duplicado",IF(OR(NOT(ISNUMBER(B230)),B230&lt;=0),"Data ausente ou inválida",IF(AND(C230&lt;&gt;"Entrada",C230&lt;&gt;"Saída",C230&lt;&gt;"Perda",C230&lt;&gt;"Ajuste positivo",C230&lt;&gt;"Ajuste negativo"),"Tipo de movimento inválido",IF(OR(D230="",COUNTIFS(Lotes!$A$5:$A$204,D230)&lt;&gt;1),"Lote ausente ou desconhecido",IF(COUNTIFS(Lotes!$A$5:$A$204,D230,Lotes!$S$5:$S$204,"?*")&gt;0,"Revisar cadastro do lote",IF(B230&lt;INDEX(Lotes!$E$5:$E$204,MATCH(D230,Lotes!$A$5:$A$204,0)),"Movimento anterior ao recebimento",IF(OR(NOT(ISNUMBER(G230)),G230&lt;=0),"Quantidade ausente ou inválida",""))))))))</x:f>
      </x:c>
      <x:c r="P230" s="163" t="n">
        <x:f>IF(O230="",0,1)</x:f>
        <x:v>0</x:v>
      </x:c>
      <x:c r="Q230" s="163" t="n">
        <x:f>IF(COUNTA(A230:D230,G230,K230:N230)=0,0,IF(OR(Listas!$B$19="Todos",E230=Listas!$B$19,E230="",COUNTIFS(Lotes!$A$5:$A$204,D230)&lt;&gt;1),1,0))</x:f>
        <x:v>0</x:v>
      </x:c>
      <x:c r="R230" s="1"/>
      <x:c r="S230" s="1"/>
      <x:c r="T230" s="1"/>
      <x:c r="U230" s="1"/>
      <x:c r="V230" s="1"/>
      <x:c r="W230" s="1"/>
    </x:row>
    <x:row r="231" ht="32" customHeight="1">
      <x:c r="A231" s="170"/>
      <x:c r="B231" s="179"/>
      <x:c r="C231" s="170"/>
      <x:c r="D231" s="170"/>
      <x:c r="E231" s="40" t="str">
        <x:f>IF($D231="","",IFERROR(INDEX(Lotes!$B$5:$B$204,MATCH($D231,Lotes!$A$5:$A$204,0)),""))</x:f>
      </x:c>
      <x:c r="F231" s="40" t="str">
        <x:f>IF($D231="","",IFERROR(INDEX(Lotes!$C$5:$C$204,MATCH($D231,Lotes!$A$5:$A$204,0)),""))</x:f>
      </x:c>
      <x:c r="G231" s="27"/>
      <x:c r="H231" s="40" t="str">
        <x:f>IF(A231="","",IF(O231&lt;&gt;"","n.a.",IF(OR(C231="Saída",C231="Perda",C231="Ajuste negativo"),-G231,G231)))</x:f>
      </x:c>
      <x:c r="I231" s="181" t="str">
        <x:f>IF($D231="","",IFERROR(INDEX(Lotes!$K$5:$K$204,MATCH($D231,Lotes!$A$5:$A$204,0)),0))</x:f>
      </x:c>
      <x:c r="J231" s="181" t="str">
        <x:f>IF(A231="","",IF(O231&lt;&gt;"","n.a.",ABS(H231)*I231))</x:f>
      </x:c>
      <x:c r="K231" s="27"/>
      <x:c r="L231" s="27"/>
      <x:c r="M231" s="27"/>
      <x:c r="N231" s="27"/>
      <x:c r="O231" s="163" t="str">
        <x:f>IF(COUNTA(A231:D231,G231,K231:N231)=0,"",IF(OR(A231="",COUNTIFS($A$5:$A$304,A231)&lt;&gt;1),"ID ausente ou duplicado",IF(OR(NOT(ISNUMBER(B231)),B231&lt;=0),"Data ausente ou inválida",IF(AND(C231&lt;&gt;"Entrada",C231&lt;&gt;"Saída",C231&lt;&gt;"Perda",C231&lt;&gt;"Ajuste positivo",C231&lt;&gt;"Ajuste negativo"),"Tipo de movimento inválido",IF(OR(D231="",COUNTIFS(Lotes!$A$5:$A$204,D231)&lt;&gt;1),"Lote ausente ou desconhecido",IF(COUNTIFS(Lotes!$A$5:$A$204,D231,Lotes!$S$5:$S$204,"?*")&gt;0,"Revisar cadastro do lote",IF(B231&lt;INDEX(Lotes!$E$5:$E$204,MATCH(D231,Lotes!$A$5:$A$204,0)),"Movimento anterior ao recebimento",IF(OR(NOT(ISNUMBER(G231)),G231&lt;=0),"Quantidade ausente ou inválida",""))))))))</x:f>
      </x:c>
      <x:c r="P231" s="163" t="n">
        <x:f>IF(O231="",0,1)</x:f>
        <x:v>0</x:v>
      </x:c>
      <x:c r="Q231" s="163" t="n">
        <x:f>IF(COUNTA(A231:D231,G231,K231:N231)=0,0,IF(OR(Listas!$B$19="Todos",E231=Listas!$B$19,E231="",COUNTIFS(Lotes!$A$5:$A$204,D231)&lt;&gt;1),1,0))</x:f>
        <x:v>0</x:v>
      </x:c>
      <x:c r="R231" s="1"/>
      <x:c r="S231" s="1"/>
      <x:c r="T231" s="1"/>
      <x:c r="U231" s="1"/>
      <x:c r="V231" s="1"/>
      <x:c r="W231" s="1"/>
    </x:row>
    <x:row r="232" ht="32" customHeight="1">
      <x:c r="A232" s="170"/>
      <x:c r="B232" s="179"/>
      <x:c r="C232" s="170"/>
      <x:c r="D232" s="170"/>
      <x:c r="E232" s="40" t="str">
        <x:f>IF($D232="","",IFERROR(INDEX(Lotes!$B$5:$B$204,MATCH($D232,Lotes!$A$5:$A$204,0)),""))</x:f>
      </x:c>
      <x:c r="F232" s="40" t="str">
        <x:f>IF($D232="","",IFERROR(INDEX(Lotes!$C$5:$C$204,MATCH($D232,Lotes!$A$5:$A$204,0)),""))</x:f>
      </x:c>
      <x:c r="G232" s="27"/>
      <x:c r="H232" s="40" t="str">
        <x:f>IF(A232="","",IF(O232&lt;&gt;"","n.a.",IF(OR(C232="Saída",C232="Perda",C232="Ajuste negativo"),-G232,G232)))</x:f>
      </x:c>
      <x:c r="I232" s="181" t="str">
        <x:f>IF($D232="","",IFERROR(INDEX(Lotes!$K$5:$K$204,MATCH($D232,Lotes!$A$5:$A$204,0)),0))</x:f>
      </x:c>
      <x:c r="J232" s="181" t="str">
        <x:f>IF(A232="","",IF(O232&lt;&gt;"","n.a.",ABS(H232)*I232))</x:f>
      </x:c>
      <x:c r="K232" s="27"/>
      <x:c r="L232" s="27"/>
      <x:c r="M232" s="27"/>
      <x:c r="N232" s="27"/>
      <x:c r="O232" s="163" t="str">
        <x:f>IF(COUNTA(A232:D232,G232,K232:N232)=0,"",IF(OR(A232="",COUNTIFS($A$5:$A$304,A232)&lt;&gt;1),"ID ausente ou duplicado",IF(OR(NOT(ISNUMBER(B232)),B232&lt;=0),"Data ausente ou inválida",IF(AND(C232&lt;&gt;"Entrada",C232&lt;&gt;"Saída",C232&lt;&gt;"Perda",C232&lt;&gt;"Ajuste positivo",C232&lt;&gt;"Ajuste negativo"),"Tipo de movimento inválido",IF(OR(D232="",COUNTIFS(Lotes!$A$5:$A$204,D232)&lt;&gt;1),"Lote ausente ou desconhecido",IF(COUNTIFS(Lotes!$A$5:$A$204,D232,Lotes!$S$5:$S$204,"?*")&gt;0,"Revisar cadastro do lote",IF(B232&lt;INDEX(Lotes!$E$5:$E$204,MATCH(D232,Lotes!$A$5:$A$204,0)),"Movimento anterior ao recebimento",IF(OR(NOT(ISNUMBER(G232)),G232&lt;=0),"Quantidade ausente ou inválida",""))))))))</x:f>
      </x:c>
      <x:c r="P232" s="163" t="n">
        <x:f>IF(O232="",0,1)</x:f>
        <x:v>0</x:v>
      </x:c>
      <x:c r="Q232" s="163" t="n">
        <x:f>IF(COUNTA(A232:D232,G232,K232:N232)=0,0,IF(OR(Listas!$B$19="Todos",E232=Listas!$B$19,E232="",COUNTIFS(Lotes!$A$5:$A$204,D232)&lt;&gt;1),1,0))</x:f>
        <x:v>0</x:v>
      </x:c>
      <x:c r="R232" s="1"/>
      <x:c r="S232" s="1"/>
      <x:c r="T232" s="1"/>
      <x:c r="U232" s="1"/>
      <x:c r="V232" s="1"/>
      <x:c r="W232" s="1"/>
    </x:row>
    <x:row r="233" ht="32" customHeight="1">
      <x:c r="A233" s="170"/>
      <x:c r="B233" s="179"/>
      <x:c r="C233" s="170"/>
      <x:c r="D233" s="170"/>
      <x:c r="E233" s="40" t="str">
        <x:f>IF($D233="","",IFERROR(INDEX(Lotes!$B$5:$B$204,MATCH($D233,Lotes!$A$5:$A$204,0)),""))</x:f>
      </x:c>
      <x:c r="F233" s="40" t="str">
        <x:f>IF($D233="","",IFERROR(INDEX(Lotes!$C$5:$C$204,MATCH($D233,Lotes!$A$5:$A$204,0)),""))</x:f>
      </x:c>
      <x:c r="G233" s="27"/>
      <x:c r="H233" s="40" t="str">
        <x:f>IF(A233="","",IF(O233&lt;&gt;"","n.a.",IF(OR(C233="Saída",C233="Perda",C233="Ajuste negativo"),-G233,G233)))</x:f>
      </x:c>
      <x:c r="I233" s="181" t="str">
        <x:f>IF($D233="","",IFERROR(INDEX(Lotes!$K$5:$K$204,MATCH($D233,Lotes!$A$5:$A$204,0)),0))</x:f>
      </x:c>
      <x:c r="J233" s="181" t="str">
        <x:f>IF(A233="","",IF(O233&lt;&gt;"","n.a.",ABS(H233)*I233))</x:f>
      </x:c>
      <x:c r="K233" s="27"/>
      <x:c r="L233" s="27"/>
      <x:c r="M233" s="27"/>
      <x:c r="N233" s="27"/>
      <x:c r="O233" s="163" t="str">
        <x:f>IF(COUNTA(A233:D233,G233,K233:N233)=0,"",IF(OR(A233="",COUNTIFS($A$5:$A$304,A233)&lt;&gt;1),"ID ausente ou duplicado",IF(OR(NOT(ISNUMBER(B233)),B233&lt;=0),"Data ausente ou inválida",IF(AND(C233&lt;&gt;"Entrada",C233&lt;&gt;"Saída",C233&lt;&gt;"Perda",C233&lt;&gt;"Ajuste positivo",C233&lt;&gt;"Ajuste negativo"),"Tipo de movimento inválido",IF(OR(D233="",COUNTIFS(Lotes!$A$5:$A$204,D233)&lt;&gt;1),"Lote ausente ou desconhecido",IF(COUNTIFS(Lotes!$A$5:$A$204,D233,Lotes!$S$5:$S$204,"?*")&gt;0,"Revisar cadastro do lote",IF(B233&lt;INDEX(Lotes!$E$5:$E$204,MATCH(D233,Lotes!$A$5:$A$204,0)),"Movimento anterior ao recebimento",IF(OR(NOT(ISNUMBER(G233)),G233&lt;=0),"Quantidade ausente ou inválida",""))))))))</x:f>
      </x:c>
      <x:c r="P233" s="163" t="n">
        <x:f>IF(O233="",0,1)</x:f>
        <x:v>0</x:v>
      </x:c>
      <x:c r="Q233" s="163" t="n">
        <x:f>IF(COUNTA(A233:D233,G233,K233:N233)=0,0,IF(OR(Listas!$B$19="Todos",E233=Listas!$B$19,E233="",COUNTIFS(Lotes!$A$5:$A$204,D233)&lt;&gt;1),1,0))</x:f>
        <x:v>0</x:v>
      </x:c>
      <x:c r="R233" s="1"/>
      <x:c r="S233" s="1"/>
      <x:c r="T233" s="1"/>
      <x:c r="U233" s="1"/>
      <x:c r="V233" s="1"/>
      <x:c r="W233" s="1"/>
    </x:row>
    <x:row r="234" ht="32" customHeight="1">
      <x:c r="A234" s="170"/>
      <x:c r="B234" s="179"/>
      <x:c r="C234" s="170"/>
      <x:c r="D234" s="170"/>
      <x:c r="E234" s="40" t="str">
        <x:f>IF($D234="","",IFERROR(INDEX(Lotes!$B$5:$B$204,MATCH($D234,Lotes!$A$5:$A$204,0)),""))</x:f>
      </x:c>
      <x:c r="F234" s="40" t="str">
        <x:f>IF($D234="","",IFERROR(INDEX(Lotes!$C$5:$C$204,MATCH($D234,Lotes!$A$5:$A$204,0)),""))</x:f>
      </x:c>
      <x:c r="G234" s="27"/>
      <x:c r="H234" s="40" t="str">
        <x:f>IF(A234="","",IF(O234&lt;&gt;"","n.a.",IF(OR(C234="Saída",C234="Perda",C234="Ajuste negativo"),-G234,G234)))</x:f>
      </x:c>
      <x:c r="I234" s="181" t="str">
        <x:f>IF($D234="","",IFERROR(INDEX(Lotes!$K$5:$K$204,MATCH($D234,Lotes!$A$5:$A$204,0)),0))</x:f>
      </x:c>
      <x:c r="J234" s="181" t="str">
        <x:f>IF(A234="","",IF(O234&lt;&gt;"","n.a.",ABS(H234)*I234))</x:f>
      </x:c>
      <x:c r="K234" s="27"/>
      <x:c r="L234" s="27"/>
      <x:c r="M234" s="27"/>
      <x:c r="N234" s="27"/>
      <x:c r="O234" s="163" t="str">
        <x:f>IF(COUNTA(A234:D234,G234,K234:N234)=0,"",IF(OR(A234="",COUNTIFS($A$5:$A$304,A234)&lt;&gt;1),"ID ausente ou duplicado",IF(OR(NOT(ISNUMBER(B234)),B234&lt;=0),"Data ausente ou inválida",IF(AND(C234&lt;&gt;"Entrada",C234&lt;&gt;"Saída",C234&lt;&gt;"Perda",C234&lt;&gt;"Ajuste positivo",C234&lt;&gt;"Ajuste negativo"),"Tipo de movimento inválido",IF(OR(D234="",COUNTIFS(Lotes!$A$5:$A$204,D234)&lt;&gt;1),"Lote ausente ou desconhecido",IF(COUNTIFS(Lotes!$A$5:$A$204,D234,Lotes!$S$5:$S$204,"?*")&gt;0,"Revisar cadastro do lote",IF(B234&lt;INDEX(Lotes!$E$5:$E$204,MATCH(D234,Lotes!$A$5:$A$204,0)),"Movimento anterior ao recebimento",IF(OR(NOT(ISNUMBER(G234)),G234&lt;=0),"Quantidade ausente ou inválida",""))))))))</x:f>
      </x:c>
      <x:c r="P234" s="163" t="n">
        <x:f>IF(O234="",0,1)</x:f>
        <x:v>0</x:v>
      </x:c>
      <x:c r="Q234" s="163" t="n">
        <x:f>IF(COUNTA(A234:D234,G234,K234:N234)=0,0,IF(OR(Listas!$B$19="Todos",E234=Listas!$B$19,E234="",COUNTIFS(Lotes!$A$5:$A$204,D234)&lt;&gt;1),1,0))</x:f>
        <x:v>0</x:v>
      </x:c>
      <x:c r="R234" s="1"/>
      <x:c r="S234" s="1"/>
      <x:c r="T234" s="1"/>
      <x:c r="U234" s="1"/>
      <x:c r="V234" s="1"/>
      <x:c r="W234" s="1"/>
    </x:row>
    <x:row r="235" ht="32" customHeight="1">
      <x:c r="A235" s="170"/>
      <x:c r="B235" s="179"/>
      <x:c r="C235" s="170"/>
      <x:c r="D235" s="170"/>
      <x:c r="E235" s="40" t="str">
        <x:f>IF($D235="","",IFERROR(INDEX(Lotes!$B$5:$B$204,MATCH($D235,Lotes!$A$5:$A$204,0)),""))</x:f>
      </x:c>
      <x:c r="F235" s="40" t="str">
        <x:f>IF($D235="","",IFERROR(INDEX(Lotes!$C$5:$C$204,MATCH($D235,Lotes!$A$5:$A$204,0)),""))</x:f>
      </x:c>
      <x:c r="G235" s="27"/>
      <x:c r="H235" s="40" t="str">
        <x:f>IF(A235="","",IF(O235&lt;&gt;"","n.a.",IF(OR(C235="Saída",C235="Perda",C235="Ajuste negativo"),-G235,G235)))</x:f>
      </x:c>
      <x:c r="I235" s="181" t="str">
        <x:f>IF($D235="","",IFERROR(INDEX(Lotes!$K$5:$K$204,MATCH($D235,Lotes!$A$5:$A$204,0)),0))</x:f>
      </x:c>
      <x:c r="J235" s="181" t="str">
        <x:f>IF(A235="","",IF(O235&lt;&gt;"","n.a.",ABS(H235)*I235))</x:f>
      </x:c>
      <x:c r="K235" s="27"/>
      <x:c r="L235" s="27"/>
      <x:c r="M235" s="27"/>
      <x:c r="N235" s="27"/>
      <x:c r="O235" s="163" t="str">
        <x:f>IF(COUNTA(A235:D235,G235,K235:N235)=0,"",IF(OR(A235="",COUNTIFS($A$5:$A$304,A235)&lt;&gt;1),"ID ausente ou duplicado",IF(OR(NOT(ISNUMBER(B235)),B235&lt;=0),"Data ausente ou inválida",IF(AND(C235&lt;&gt;"Entrada",C235&lt;&gt;"Saída",C235&lt;&gt;"Perda",C235&lt;&gt;"Ajuste positivo",C235&lt;&gt;"Ajuste negativo"),"Tipo de movimento inválido",IF(OR(D235="",COUNTIFS(Lotes!$A$5:$A$204,D235)&lt;&gt;1),"Lote ausente ou desconhecido",IF(COUNTIFS(Lotes!$A$5:$A$204,D235,Lotes!$S$5:$S$204,"?*")&gt;0,"Revisar cadastro do lote",IF(B235&lt;INDEX(Lotes!$E$5:$E$204,MATCH(D235,Lotes!$A$5:$A$204,0)),"Movimento anterior ao recebimento",IF(OR(NOT(ISNUMBER(G235)),G235&lt;=0),"Quantidade ausente ou inválida",""))))))))</x:f>
      </x:c>
      <x:c r="P235" s="163" t="n">
        <x:f>IF(O235="",0,1)</x:f>
        <x:v>0</x:v>
      </x:c>
      <x:c r="Q235" s="163" t="n">
        <x:f>IF(COUNTA(A235:D235,G235,K235:N235)=0,0,IF(OR(Listas!$B$19="Todos",E235=Listas!$B$19,E235="",COUNTIFS(Lotes!$A$5:$A$204,D235)&lt;&gt;1),1,0))</x:f>
        <x:v>0</x:v>
      </x:c>
      <x:c r="R235" s="1"/>
      <x:c r="S235" s="1"/>
      <x:c r="T235" s="1"/>
      <x:c r="U235" s="1"/>
      <x:c r="V235" s="1"/>
      <x:c r="W235" s="1"/>
    </x:row>
    <x:row r="236" ht="32" customHeight="1">
      <x:c r="A236" s="170"/>
      <x:c r="B236" s="179"/>
      <x:c r="C236" s="170"/>
      <x:c r="D236" s="170"/>
      <x:c r="E236" s="40" t="str">
        <x:f>IF($D236="","",IFERROR(INDEX(Lotes!$B$5:$B$204,MATCH($D236,Lotes!$A$5:$A$204,0)),""))</x:f>
      </x:c>
      <x:c r="F236" s="40" t="str">
        <x:f>IF($D236="","",IFERROR(INDEX(Lotes!$C$5:$C$204,MATCH($D236,Lotes!$A$5:$A$204,0)),""))</x:f>
      </x:c>
      <x:c r="G236" s="27"/>
      <x:c r="H236" s="40" t="str">
        <x:f>IF(A236="","",IF(O236&lt;&gt;"","n.a.",IF(OR(C236="Saída",C236="Perda",C236="Ajuste negativo"),-G236,G236)))</x:f>
      </x:c>
      <x:c r="I236" s="181" t="str">
        <x:f>IF($D236="","",IFERROR(INDEX(Lotes!$K$5:$K$204,MATCH($D236,Lotes!$A$5:$A$204,0)),0))</x:f>
      </x:c>
      <x:c r="J236" s="181" t="str">
        <x:f>IF(A236="","",IF(O236&lt;&gt;"","n.a.",ABS(H236)*I236))</x:f>
      </x:c>
      <x:c r="K236" s="27"/>
      <x:c r="L236" s="27"/>
      <x:c r="M236" s="27"/>
      <x:c r="N236" s="27"/>
      <x:c r="O236" s="163" t="str">
        <x:f>IF(COUNTA(A236:D236,G236,K236:N236)=0,"",IF(OR(A236="",COUNTIFS($A$5:$A$304,A236)&lt;&gt;1),"ID ausente ou duplicado",IF(OR(NOT(ISNUMBER(B236)),B236&lt;=0),"Data ausente ou inválida",IF(AND(C236&lt;&gt;"Entrada",C236&lt;&gt;"Saída",C236&lt;&gt;"Perda",C236&lt;&gt;"Ajuste positivo",C236&lt;&gt;"Ajuste negativo"),"Tipo de movimento inválido",IF(OR(D236="",COUNTIFS(Lotes!$A$5:$A$204,D236)&lt;&gt;1),"Lote ausente ou desconhecido",IF(COUNTIFS(Lotes!$A$5:$A$204,D236,Lotes!$S$5:$S$204,"?*")&gt;0,"Revisar cadastro do lote",IF(B236&lt;INDEX(Lotes!$E$5:$E$204,MATCH(D236,Lotes!$A$5:$A$204,0)),"Movimento anterior ao recebimento",IF(OR(NOT(ISNUMBER(G236)),G236&lt;=0),"Quantidade ausente ou inválida",""))))))))</x:f>
      </x:c>
      <x:c r="P236" s="163" t="n">
        <x:f>IF(O236="",0,1)</x:f>
        <x:v>0</x:v>
      </x:c>
      <x:c r="Q236" s="163" t="n">
        <x:f>IF(COUNTA(A236:D236,G236,K236:N236)=0,0,IF(OR(Listas!$B$19="Todos",E236=Listas!$B$19,E236="",COUNTIFS(Lotes!$A$5:$A$204,D236)&lt;&gt;1),1,0))</x:f>
        <x:v>0</x:v>
      </x:c>
      <x:c r="R236" s="1"/>
      <x:c r="S236" s="1"/>
      <x:c r="T236" s="1"/>
      <x:c r="U236" s="1"/>
      <x:c r="V236" s="1"/>
      <x:c r="W236" s="1"/>
    </x:row>
    <x:row r="237" ht="32" customHeight="1">
      <x:c r="A237" s="170"/>
      <x:c r="B237" s="179"/>
      <x:c r="C237" s="170"/>
      <x:c r="D237" s="170"/>
      <x:c r="E237" s="40" t="str">
        <x:f>IF($D237="","",IFERROR(INDEX(Lotes!$B$5:$B$204,MATCH($D237,Lotes!$A$5:$A$204,0)),""))</x:f>
      </x:c>
      <x:c r="F237" s="40" t="str">
        <x:f>IF($D237="","",IFERROR(INDEX(Lotes!$C$5:$C$204,MATCH($D237,Lotes!$A$5:$A$204,0)),""))</x:f>
      </x:c>
      <x:c r="G237" s="27"/>
      <x:c r="H237" s="40" t="str">
        <x:f>IF(A237="","",IF(O237&lt;&gt;"","n.a.",IF(OR(C237="Saída",C237="Perda",C237="Ajuste negativo"),-G237,G237)))</x:f>
      </x:c>
      <x:c r="I237" s="181" t="str">
        <x:f>IF($D237="","",IFERROR(INDEX(Lotes!$K$5:$K$204,MATCH($D237,Lotes!$A$5:$A$204,0)),0))</x:f>
      </x:c>
      <x:c r="J237" s="181" t="str">
        <x:f>IF(A237="","",IF(O237&lt;&gt;"","n.a.",ABS(H237)*I237))</x:f>
      </x:c>
      <x:c r="K237" s="27"/>
      <x:c r="L237" s="27"/>
      <x:c r="M237" s="27"/>
      <x:c r="N237" s="27"/>
      <x:c r="O237" s="163" t="str">
        <x:f>IF(COUNTA(A237:D237,G237,K237:N237)=0,"",IF(OR(A237="",COUNTIFS($A$5:$A$304,A237)&lt;&gt;1),"ID ausente ou duplicado",IF(OR(NOT(ISNUMBER(B237)),B237&lt;=0),"Data ausente ou inválida",IF(AND(C237&lt;&gt;"Entrada",C237&lt;&gt;"Saída",C237&lt;&gt;"Perda",C237&lt;&gt;"Ajuste positivo",C237&lt;&gt;"Ajuste negativo"),"Tipo de movimento inválido",IF(OR(D237="",COUNTIFS(Lotes!$A$5:$A$204,D237)&lt;&gt;1),"Lote ausente ou desconhecido",IF(COUNTIFS(Lotes!$A$5:$A$204,D237,Lotes!$S$5:$S$204,"?*")&gt;0,"Revisar cadastro do lote",IF(B237&lt;INDEX(Lotes!$E$5:$E$204,MATCH(D237,Lotes!$A$5:$A$204,0)),"Movimento anterior ao recebimento",IF(OR(NOT(ISNUMBER(G237)),G237&lt;=0),"Quantidade ausente ou inválida",""))))))))</x:f>
      </x:c>
      <x:c r="P237" s="163" t="n">
        <x:f>IF(O237="",0,1)</x:f>
        <x:v>0</x:v>
      </x:c>
      <x:c r="Q237" s="163" t="n">
        <x:f>IF(COUNTA(A237:D237,G237,K237:N237)=0,0,IF(OR(Listas!$B$19="Todos",E237=Listas!$B$19,E237="",COUNTIFS(Lotes!$A$5:$A$204,D237)&lt;&gt;1),1,0))</x:f>
        <x:v>0</x:v>
      </x:c>
      <x:c r="R237" s="1"/>
      <x:c r="S237" s="1"/>
      <x:c r="T237" s="1"/>
      <x:c r="U237" s="1"/>
      <x:c r="V237" s="1"/>
      <x:c r="W237" s="1"/>
    </x:row>
    <x:row r="238" ht="32" customHeight="1">
      <x:c r="A238" s="170"/>
      <x:c r="B238" s="179"/>
      <x:c r="C238" s="170"/>
      <x:c r="D238" s="170"/>
      <x:c r="E238" s="40" t="str">
        <x:f>IF($D238="","",IFERROR(INDEX(Lotes!$B$5:$B$204,MATCH($D238,Lotes!$A$5:$A$204,0)),""))</x:f>
      </x:c>
      <x:c r="F238" s="40" t="str">
        <x:f>IF($D238="","",IFERROR(INDEX(Lotes!$C$5:$C$204,MATCH($D238,Lotes!$A$5:$A$204,0)),""))</x:f>
      </x:c>
      <x:c r="G238" s="27"/>
      <x:c r="H238" s="40" t="str">
        <x:f>IF(A238="","",IF(O238&lt;&gt;"","n.a.",IF(OR(C238="Saída",C238="Perda",C238="Ajuste negativo"),-G238,G238)))</x:f>
      </x:c>
      <x:c r="I238" s="181" t="str">
        <x:f>IF($D238="","",IFERROR(INDEX(Lotes!$K$5:$K$204,MATCH($D238,Lotes!$A$5:$A$204,0)),0))</x:f>
      </x:c>
      <x:c r="J238" s="181" t="str">
        <x:f>IF(A238="","",IF(O238&lt;&gt;"","n.a.",ABS(H238)*I238))</x:f>
      </x:c>
      <x:c r="K238" s="27"/>
      <x:c r="L238" s="27"/>
      <x:c r="M238" s="27"/>
      <x:c r="N238" s="27"/>
      <x:c r="O238" s="163" t="str">
        <x:f>IF(COUNTA(A238:D238,G238,K238:N238)=0,"",IF(OR(A238="",COUNTIFS($A$5:$A$304,A238)&lt;&gt;1),"ID ausente ou duplicado",IF(OR(NOT(ISNUMBER(B238)),B238&lt;=0),"Data ausente ou inválida",IF(AND(C238&lt;&gt;"Entrada",C238&lt;&gt;"Saída",C238&lt;&gt;"Perda",C238&lt;&gt;"Ajuste positivo",C238&lt;&gt;"Ajuste negativo"),"Tipo de movimento inválido",IF(OR(D238="",COUNTIFS(Lotes!$A$5:$A$204,D238)&lt;&gt;1),"Lote ausente ou desconhecido",IF(COUNTIFS(Lotes!$A$5:$A$204,D238,Lotes!$S$5:$S$204,"?*")&gt;0,"Revisar cadastro do lote",IF(B238&lt;INDEX(Lotes!$E$5:$E$204,MATCH(D238,Lotes!$A$5:$A$204,0)),"Movimento anterior ao recebimento",IF(OR(NOT(ISNUMBER(G238)),G238&lt;=0),"Quantidade ausente ou inválida",""))))))))</x:f>
      </x:c>
      <x:c r="P238" s="163" t="n">
        <x:f>IF(O238="",0,1)</x:f>
        <x:v>0</x:v>
      </x:c>
      <x:c r="Q238" s="163" t="n">
        <x:f>IF(COUNTA(A238:D238,G238,K238:N238)=0,0,IF(OR(Listas!$B$19="Todos",E238=Listas!$B$19,E238="",COUNTIFS(Lotes!$A$5:$A$204,D238)&lt;&gt;1),1,0))</x:f>
        <x:v>0</x:v>
      </x:c>
      <x:c r="R238" s="1"/>
      <x:c r="S238" s="1"/>
      <x:c r="T238" s="1"/>
      <x:c r="U238" s="1"/>
      <x:c r="V238" s="1"/>
      <x:c r="W238" s="1"/>
    </x:row>
    <x:row r="239" ht="32" customHeight="1">
      <x:c r="A239" s="170"/>
      <x:c r="B239" s="179"/>
      <x:c r="C239" s="170"/>
      <x:c r="D239" s="170"/>
      <x:c r="E239" s="40" t="str">
        <x:f>IF($D239="","",IFERROR(INDEX(Lotes!$B$5:$B$204,MATCH($D239,Lotes!$A$5:$A$204,0)),""))</x:f>
      </x:c>
      <x:c r="F239" s="40" t="str">
        <x:f>IF($D239="","",IFERROR(INDEX(Lotes!$C$5:$C$204,MATCH($D239,Lotes!$A$5:$A$204,0)),""))</x:f>
      </x:c>
      <x:c r="G239" s="27"/>
      <x:c r="H239" s="40" t="str">
        <x:f>IF(A239="","",IF(O239&lt;&gt;"","n.a.",IF(OR(C239="Saída",C239="Perda",C239="Ajuste negativo"),-G239,G239)))</x:f>
      </x:c>
      <x:c r="I239" s="181" t="str">
        <x:f>IF($D239="","",IFERROR(INDEX(Lotes!$K$5:$K$204,MATCH($D239,Lotes!$A$5:$A$204,0)),0))</x:f>
      </x:c>
      <x:c r="J239" s="181" t="str">
        <x:f>IF(A239="","",IF(O239&lt;&gt;"","n.a.",ABS(H239)*I239))</x:f>
      </x:c>
      <x:c r="K239" s="27"/>
      <x:c r="L239" s="27"/>
      <x:c r="M239" s="27"/>
      <x:c r="N239" s="27"/>
      <x:c r="O239" s="163" t="str">
        <x:f>IF(COUNTA(A239:D239,G239,K239:N239)=0,"",IF(OR(A239="",COUNTIFS($A$5:$A$304,A239)&lt;&gt;1),"ID ausente ou duplicado",IF(OR(NOT(ISNUMBER(B239)),B239&lt;=0),"Data ausente ou inválida",IF(AND(C239&lt;&gt;"Entrada",C239&lt;&gt;"Saída",C239&lt;&gt;"Perda",C239&lt;&gt;"Ajuste positivo",C239&lt;&gt;"Ajuste negativo"),"Tipo de movimento inválido",IF(OR(D239="",COUNTIFS(Lotes!$A$5:$A$204,D239)&lt;&gt;1),"Lote ausente ou desconhecido",IF(COUNTIFS(Lotes!$A$5:$A$204,D239,Lotes!$S$5:$S$204,"?*")&gt;0,"Revisar cadastro do lote",IF(B239&lt;INDEX(Lotes!$E$5:$E$204,MATCH(D239,Lotes!$A$5:$A$204,0)),"Movimento anterior ao recebimento",IF(OR(NOT(ISNUMBER(G239)),G239&lt;=0),"Quantidade ausente ou inválida",""))))))))</x:f>
      </x:c>
      <x:c r="P239" s="163" t="n">
        <x:f>IF(O239="",0,1)</x:f>
        <x:v>0</x:v>
      </x:c>
      <x:c r="Q239" s="163" t="n">
        <x:f>IF(COUNTA(A239:D239,G239,K239:N239)=0,0,IF(OR(Listas!$B$19="Todos",E239=Listas!$B$19,E239="",COUNTIFS(Lotes!$A$5:$A$204,D239)&lt;&gt;1),1,0))</x:f>
        <x:v>0</x:v>
      </x:c>
      <x:c r="R239" s="1"/>
      <x:c r="S239" s="1"/>
      <x:c r="T239" s="1"/>
      <x:c r="U239" s="1"/>
      <x:c r="V239" s="1"/>
      <x:c r="W239" s="1"/>
    </x:row>
    <x:row r="240" ht="32" customHeight="1">
      <x:c r="A240" s="170"/>
      <x:c r="B240" s="179"/>
      <x:c r="C240" s="170"/>
      <x:c r="D240" s="170"/>
      <x:c r="E240" s="40" t="str">
        <x:f>IF($D240="","",IFERROR(INDEX(Lotes!$B$5:$B$204,MATCH($D240,Lotes!$A$5:$A$204,0)),""))</x:f>
      </x:c>
      <x:c r="F240" s="40" t="str">
        <x:f>IF($D240="","",IFERROR(INDEX(Lotes!$C$5:$C$204,MATCH($D240,Lotes!$A$5:$A$204,0)),""))</x:f>
      </x:c>
      <x:c r="G240" s="27"/>
      <x:c r="H240" s="40" t="str">
        <x:f>IF(A240="","",IF(O240&lt;&gt;"","n.a.",IF(OR(C240="Saída",C240="Perda",C240="Ajuste negativo"),-G240,G240)))</x:f>
      </x:c>
      <x:c r="I240" s="181" t="str">
        <x:f>IF($D240="","",IFERROR(INDEX(Lotes!$K$5:$K$204,MATCH($D240,Lotes!$A$5:$A$204,0)),0))</x:f>
      </x:c>
      <x:c r="J240" s="181" t="str">
        <x:f>IF(A240="","",IF(O240&lt;&gt;"","n.a.",ABS(H240)*I240))</x:f>
      </x:c>
      <x:c r="K240" s="27"/>
      <x:c r="L240" s="27"/>
      <x:c r="M240" s="27"/>
      <x:c r="N240" s="27"/>
      <x:c r="O240" s="163" t="str">
        <x:f>IF(COUNTA(A240:D240,G240,K240:N240)=0,"",IF(OR(A240="",COUNTIFS($A$5:$A$304,A240)&lt;&gt;1),"ID ausente ou duplicado",IF(OR(NOT(ISNUMBER(B240)),B240&lt;=0),"Data ausente ou inválida",IF(AND(C240&lt;&gt;"Entrada",C240&lt;&gt;"Saída",C240&lt;&gt;"Perda",C240&lt;&gt;"Ajuste positivo",C240&lt;&gt;"Ajuste negativo"),"Tipo de movimento inválido",IF(OR(D240="",COUNTIFS(Lotes!$A$5:$A$204,D240)&lt;&gt;1),"Lote ausente ou desconhecido",IF(COUNTIFS(Lotes!$A$5:$A$204,D240,Lotes!$S$5:$S$204,"?*")&gt;0,"Revisar cadastro do lote",IF(B240&lt;INDEX(Lotes!$E$5:$E$204,MATCH(D240,Lotes!$A$5:$A$204,0)),"Movimento anterior ao recebimento",IF(OR(NOT(ISNUMBER(G240)),G240&lt;=0),"Quantidade ausente ou inválida",""))))))))</x:f>
      </x:c>
      <x:c r="P240" s="163" t="n">
        <x:f>IF(O240="",0,1)</x:f>
        <x:v>0</x:v>
      </x:c>
      <x:c r="Q240" s="163" t="n">
        <x:f>IF(COUNTA(A240:D240,G240,K240:N240)=0,0,IF(OR(Listas!$B$19="Todos",E240=Listas!$B$19,E240="",COUNTIFS(Lotes!$A$5:$A$204,D240)&lt;&gt;1),1,0))</x:f>
        <x:v>0</x:v>
      </x:c>
      <x:c r="R240" s="1"/>
      <x:c r="S240" s="1"/>
      <x:c r="T240" s="1"/>
      <x:c r="U240" s="1"/>
      <x:c r="V240" s="1"/>
      <x:c r="W240" s="1"/>
    </x:row>
    <x:row r="241" ht="32" customHeight="1">
      <x:c r="A241" s="170"/>
      <x:c r="B241" s="179"/>
      <x:c r="C241" s="170"/>
      <x:c r="D241" s="170"/>
      <x:c r="E241" s="40" t="str">
        <x:f>IF($D241="","",IFERROR(INDEX(Lotes!$B$5:$B$204,MATCH($D241,Lotes!$A$5:$A$204,0)),""))</x:f>
      </x:c>
      <x:c r="F241" s="40" t="str">
        <x:f>IF($D241="","",IFERROR(INDEX(Lotes!$C$5:$C$204,MATCH($D241,Lotes!$A$5:$A$204,0)),""))</x:f>
      </x:c>
      <x:c r="G241" s="27"/>
      <x:c r="H241" s="40" t="str">
        <x:f>IF(A241="","",IF(O241&lt;&gt;"","n.a.",IF(OR(C241="Saída",C241="Perda",C241="Ajuste negativo"),-G241,G241)))</x:f>
      </x:c>
      <x:c r="I241" s="181" t="str">
        <x:f>IF($D241="","",IFERROR(INDEX(Lotes!$K$5:$K$204,MATCH($D241,Lotes!$A$5:$A$204,0)),0))</x:f>
      </x:c>
      <x:c r="J241" s="181" t="str">
        <x:f>IF(A241="","",IF(O241&lt;&gt;"","n.a.",ABS(H241)*I241))</x:f>
      </x:c>
      <x:c r="K241" s="27"/>
      <x:c r="L241" s="27"/>
      <x:c r="M241" s="27"/>
      <x:c r="N241" s="27"/>
      <x:c r="O241" s="163" t="str">
        <x:f>IF(COUNTA(A241:D241,G241,K241:N241)=0,"",IF(OR(A241="",COUNTIFS($A$5:$A$304,A241)&lt;&gt;1),"ID ausente ou duplicado",IF(OR(NOT(ISNUMBER(B241)),B241&lt;=0),"Data ausente ou inválida",IF(AND(C241&lt;&gt;"Entrada",C241&lt;&gt;"Saída",C241&lt;&gt;"Perda",C241&lt;&gt;"Ajuste positivo",C241&lt;&gt;"Ajuste negativo"),"Tipo de movimento inválido",IF(OR(D241="",COUNTIFS(Lotes!$A$5:$A$204,D241)&lt;&gt;1),"Lote ausente ou desconhecido",IF(COUNTIFS(Lotes!$A$5:$A$204,D241,Lotes!$S$5:$S$204,"?*")&gt;0,"Revisar cadastro do lote",IF(B241&lt;INDEX(Lotes!$E$5:$E$204,MATCH(D241,Lotes!$A$5:$A$204,0)),"Movimento anterior ao recebimento",IF(OR(NOT(ISNUMBER(G241)),G241&lt;=0),"Quantidade ausente ou inválida",""))))))))</x:f>
      </x:c>
      <x:c r="P241" s="163" t="n">
        <x:f>IF(O241="",0,1)</x:f>
        <x:v>0</x:v>
      </x:c>
      <x:c r="Q241" s="163" t="n">
        <x:f>IF(COUNTA(A241:D241,G241,K241:N241)=0,0,IF(OR(Listas!$B$19="Todos",E241=Listas!$B$19,E241="",COUNTIFS(Lotes!$A$5:$A$204,D241)&lt;&gt;1),1,0))</x:f>
        <x:v>0</x:v>
      </x:c>
      <x:c r="R241" s="1"/>
      <x:c r="S241" s="1"/>
      <x:c r="T241" s="1"/>
      <x:c r="U241" s="1"/>
      <x:c r="V241" s="1"/>
      <x:c r="W241" s="1"/>
    </x:row>
    <x:row r="242" ht="32" customHeight="1">
      <x:c r="A242" s="170"/>
      <x:c r="B242" s="179"/>
      <x:c r="C242" s="170"/>
      <x:c r="D242" s="170"/>
      <x:c r="E242" s="40" t="str">
        <x:f>IF($D242="","",IFERROR(INDEX(Lotes!$B$5:$B$204,MATCH($D242,Lotes!$A$5:$A$204,0)),""))</x:f>
      </x:c>
      <x:c r="F242" s="40" t="str">
        <x:f>IF($D242="","",IFERROR(INDEX(Lotes!$C$5:$C$204,MATCH($D242,Lotes!$A$5:$A$204,0)),""))</x:f>
      </x:c>
      <x:c r="G242" s="27"/>
      <x:c r="H242" s="40" t="str">
        <x:f>IF(A242="","",IF(O242&lt;&gt;"","n.a.",IF(OR(C242="Saída",C242="Perda",C242="Ajuste negativo"),-G242,G242)))</x:f>
      </x:c>
      <x:c r="I242" s="181" t="str">
        <x:f>IF($D242="","",IFERROR(INDEX(Lotes!$K$5:$K$204,MATCH($D242,Lotes!$A$5:$A$204,0)),0))</x:f>
      </x:c>
      <x:c r="J242" s="181" t="str">
        <x:f>IF(A242="","",IF(O242&lt;&gt;"","n.a.",ABS(H242)*I242))</x:f>
      </x:c>
      <x:c r="K242" s="27"/>
      <x:c r="L242" s="27"/>
      <x:c r="M242" s="27"/>
      <x:c r="N242" s="27"/>
      <x:c r="O242" s="163" t="str">
        <x:f>IF(COUNTA(A242:D242,G242,K242:N242)=0,"",IF(OR(A242="",COUNTIFS($A$5:$A$304,A242)&lt;&gt;1),"ID ausente ou duplicado",IF(OR(NOT(ISNUMBER(B242)),B242&lt;=0),"Data ausente ou inválida",IF(AND(C242&lt;&gt;"Entrada",C242&lt;&gt;"Saída",C242&lt;&gt;"Perda",C242&lt;&gt;"Ajuste positivo",C242&lt;&gt;"Ajuste negativo"),"Tipo de movimento inválido",IF(OR(D242="",COUNTIFS(Lotes!$A$5:$A$204,D242)&lt;&gt;1),"Lote ausente ou desconhecido",IF(COUNTIFS(Lotes!$A$5:$A$204,D242,Lotes!$S$5:$S$204,"?*")&gt;0,"Revisar cadastro do lote",IF(B242&lt;INDEX(Lotes!$E$5:$E$204,MATCH(D242,Lotes!$A$5:$A$204,0)),"Movimento anterior ao recebimento",IF(OR(NOT(ISNUMBER(G242)),G242&lt;=0),"Quantidade ausente ou inválida",""))))))))</x:f>
      </x:c>
      <x:c r="P242" s="163" t="n">
        <x:f>IF(O242="",0,1)</x:f>
        <x:v>0</x:v>
      </x:c>
      <x:c r="Q242" s="163" t="n">
        <x:f>IF(COUNTA(A242:D242,G242,K242:N242)=0,0,IF(OR(Listas!$B$19="Todos",E242=Listas!$B$19,E242="",COUNTIFS(Lotes!$A$5:$A$204,D242)&lt;&gt;1),1,0))</x:f>
        <x:v>0</x:v>
      </x:c>
      <x:c r="R242" s="1"/>
      <x:c r="S242" s="1"/>
      <x:c r="T242" s="1"/>
      <x:c r="U242" s="1"/>
      <x:c r="V242" s="1"/>
      <x:c r="W242" s="1"/>
    </x:row>
    <x:row r="243" ht="32" customHeight="1">
      <x:c r="A243" s="170"/>
      <x:c r="B243" s="179"/>
      <x:c r="C243" s="170"/>
      <x:c r="D243" s="170"/>
      <x:c r="E243" s="40" t="str">
        <x:f>IF($D243="","",IFERROR(INDEX(Lotes!$B$5:$B$204,MATCH($D243,Lotes!$A$5:$A$204,0)),""))</x:f>
      </x:c>
      <x:c r="F243" s="40" t="str">
        <x:f>IF($D243="","",IFERROR(INDEX(Lotes!$C$5:$C$204,MATCH($D243,Lotes!$A$5:$A$204,0)),""))</x:f>
      </x:c>
      <x:c r="G243" s="27"/>
      <x:c r="H243" s="40" t="str">
        <x:f>IF(A243="","",IF(O243&lt;&gt;"","n.a.",IF(OR(C243="Saída",C243="Perda",C243="Ajuste negativo"),-G243,G243)))</x:f>
      </x:c>
      <x:c r="I243" s="181" t="str">
        <x:f>IF($D243="","",IFERROR(INDEX(Lotes!$K$5:$K$204,MATCH($D243,Lotes!$A$5:$A$204,0)),0))</x:f>
      </x:c>
      <x:c r="J243" s="181" t="str">
        <x:f>IF(A243="","",IF(O243&lt;&gt;"","n.a.",ABS(H243)*I243))</x:f>
      </x:c>
      <x:c r="K243" s="27"/>
      <x:c r="L243" s="27"/>
      <x:c r="M243" s="27"/>
      <x:c r="N243" s="27"/>
      <x:c r="O243" s="163" t="str">
        <x:f>IF(COUNTA(A243:D243,G243,K243:N243)=0,"",IF(OR(A243="",COUNTIFS($A$5:$A$304,A243)&lt;&gt;1),"ID ausente ou duplicado",IF(OR(NOT(ISNUMBER(B243)),B243&lt;=0),"Data ausente ou inválida",IF(AND(C243&lt;&gt;"Entrada",C243&lt;&gt;"Saída",C243&lt;&gt;"Perda",C243&lt;&gt;"Ajuste positivo",C243&lt;&gt;"Ajuste negativo"),"Tipo de movimento inválido",IF(OR(D243="",COUNTIFS(Lotes!$A$5:$A$204,D243)&lt;&gt;1),"Lote ausente ou desconhecido",IF(COUNTIFS(Lotes!$A$5:$A$204,D243,Lotes!$S$5:$S$204,"?*")&gt;0,"Revisar cadastro do lote",IF(B243&lt;INDEX(Lotes!$E$5:$E$204,MATCH(D243,Lotes!$A$5:$A$204,0)),"Movimento anterior ao recebimento",IF(OR(NOT(ISNUMBER(G243)),G243&lt;=0),"Quantidade ausente ou inválida",""))))))))</x:f>
      </x:c>
      <x:c r="P243" s="163" t="n">
        <x:f>IF(O243="",0,1)</x:f>
        <x:v>0</x:v>
      </x:c>
      <x:c r="Q243" s="163" t="n">
        <x:f>IF(COUNTA(A243:D243,G243,K243:N243)=0,0,IF(OR(Listas!$B$19="Todos",E243=Listas!$B$19,E243="",COUNTIFS(Lotes!$A$5:$A$204,D243)&lt;&gt;1),1,0))</x:f>
        <x:v>0</x:v>
      </x:c>
      <x:c r="R243" s="1"/>
      <x:c r="S243" s="1"/>
      <x:c r="T243" s="1"/>
      <x:c r="U243" s="1"/>
      <x:c r="V243" s="1"/>
      <x:c r="W243" s="1"/>
    </x:row>
    <x:row r="244" ht="32" customHeight="1">
      <x:c r="A244" s="170"/>
      <x:c r="B244" s="179"/>
      <x:c r="C244" s="170"/>
      <x:c r="D244" s="170"/>
      <x:c r="E244" s="40" t="str">
        <x:f>IF($D244="","",IFERROR(INDEX(Lotes!$B$5:$B$204,MATCH($D244,Lotes!$A$5:$A$204,0)),""))</x:f>
      </x:c>
      <x:c r="F244" s="40" t="str">
        <x:f>IF($D244="","",IFERROR(INDEX(Lotes!$C$5:$C$204,MATCH($D244,Lotes!$A$5:$A$204,0)),""))</x:f>
      </x:c>
      <x:c r="G244" s="27"/>
      <x:c r="H244" s="40" t="str">
        <x:f>IF(A244="","",IF(O244&lt;&gt;"","n.a.",IF(OR(C244="Saída",C244="Perda",C244="Ajuste negativo"),-G244,G244)))</x:f>
      </x:c>
      <x:c r="I244" s="181" t="str">
        <x:f>IF($D244="","",IFERROR(INDEX(Lotes!$K$5:$K$204,MATCH($D244,Lotes!$A$5:$A$204,0)),0))</x:f>
      </x:c>
      <x:c r="J244" s="181" t="str">
        <x:f>IF(A244="","",IF(O244&lt;&gt;"","n.a.",ABS(H244)*I244))</x:f>
      </x:c>
      <x:c r="K244" s="27"/>
      <x:c r="L244" s="27"/>
      <x:c r="M244" s="27"/>
      <x:c r="N244" s="27"/>
      <x:c r="O244" s="163" t="str">
        <x:f>IF(COUNTA(A244:D244,G244,K244:N244)=0,"",IF(OR(A244="",COUNTIFS($A$5:$A$304,A244)&lt;&gt;1),"ID ausente ou duplicado",IF(OR(NOT(ISNUMBER(B244)),B244&lt;=0),"Data ausente ou inválida",IF(AND(C244&lt;&gt;"Entrada",C244&lt;&gt;"Saída",C244&lt;&gt;"Perda",C244&lt;&gt;"Ajuste positivo",C244&lt;&gt;"Ajuste negativo"),"Tipo de movimento inválido",IF(OR(D244="",COUNTIFS(Lotes!$A$5:$A$204,D244)&lt;&gt;1),"Lote ausente ou desconhecido",IF(COUNTIFS(Lotes!$A$5:$A$204,D244,Lotes!$S$5:$S$204,"?*")&gt;0,"Revisar cadastro do lote",IF(B244&lt;INDEX(Lotes!$E$5:$E$204,MATCH(D244,Lotes!$A$5:$A$204,0)),"Movimento anterior ao recebimento",IF(OR(NOT(ISNUMBER(G244)),G244&lt;=0),"Quantidade ausente ou inválida",""))))))))</x:f>
      </x:c>
      <x:c r="P244" s="163" t="n">
        <x:f>IF(O244="",0,1)</x:f>
        <x:v>0</x:v>
      </x:c>
      <x:c r="Q244" s="163" t="n">
        <x:f>IF(COUNTA(A244:D244,G244,K244:N244)=0,0,IF(OR(Listas!$B$19="Todos",E244=Listas!$B$19,E244="",COUNTIFS(Lotes!$A$5:$A$204,D244)&lt;&gt;1),1,0))</x:f>
        <x:v>0</x:v>
      </x:c>
      <x:c r="R244" s="1"/>
      <x:c r="S244" s="1"/>
      <x:c r="T244" s="1"/>
      <x:c r="U244" s="1"/>
      <x:c r="V244" s="1"/>
      <x:c r="W244" s="1"/>
    </x:row>
    <x:row r="245" ht="32" customHeight="1">
      <x:c r="A245" s="170"/>
      <x:c r="B245" s="179"/>
      <x:c r="C245" s="170"/>
      <x:c r="D245" s="170"/>
      <x:c r="E245" s="40" t="str">
        <x:f>IF($D245="","",IFERROR(INDEX(Lotes!$B$5:$B$204,MATCH($D245,Lotes!$A$5:$A$204,0)),""))</x:f>
      </x:c>
      <x:c r="F245" s="40" t="str">
        <x:f>IF($D245="","",IFERROR(INDEX(Lotes!$C$5:$C$204,MATCH($D245,Lotes!$A$5:$A$204,0)),""))</x:f>
      </x:c>
      <x:c r="G245" s="27"/>
      <x:c r="H245" s="40" t="str">
        <x:f>IF(A245="","",IF(O245&lt;&gt;"","n.a.",IF(OR(C245="Saída",C245="Perda",C245="Ajuste negativo"),-G245,G245)))</x:f>
      </x:c>
      <x:c r="I245" s="181" t="str">
        <x:f>IF($D245="","",IFERROR(INDEX(Lotes!$K$5:$K$204,MATCH($D245,Lotes!$A$5:$A$204,0)),0))</x:f>
      </x:c>
      <x:c r="J245" s="181" t="str">
        <x:f>IF(A245="","",IF(O245&lt;&gt;"","n.a.",ABS(H245)*I245))</x:f>
      </x:c>
      <x:c r="K245" s="27"/>
      <x:c r="L245" s="27"/>
      <x:c r="M245" s="27"/>
      <x:c r="N245" s="27"/>
      <x:c r="O245" s="163" t="str">
        <x:f>IF(COUNTA(A245:D245,G245,K245:N245)=0,"",IF(OR(A245="",COUNTIFS($A$5:$A$304,A245)&lt;&gt;1),"ID ausente ou duplicado",IF(OR(NOT(ISNUMBER(B245)),B245&lt;=0),"Data ausente ou inválida",IF(AND(C245&lt;&gt;"Entrada",C245&lt;&gt;"Saída",C245&lt;&gt;"Perda",C245&lt;&gt;"Ajuste positivo",C245&lt;&gt;"Ajuste negativo"),"Tipo de movimento inválido",IF(OR(D245="",COUNTIFS(Lotes!$A$5:$A$204,D245)&lt;&gt;1),"Lote ausente ou desconhecido",IF(COUNTIFS(Lotes!$A$5:$A$204,D245,Lotes!$S$5:$S$204,"?*")&gt;0,"Revisar cadastro do lote",IF(B245&lt;INDEX(Lotes!$E$5:$E$204,MATCH(D245,Lotes!$A$5:$A$204,0)),"Movimento anterior ao recebimento",IF(OR(NOT(ISNUMBER(G245)),G245&lt;=0),"Quantidade ausente ou inválida",""))))))))</x:f>
      </x:c>
      <x:c r="P245" s="163" t="n">
        <x:f>IF(O245="",0,1)</x:f>
        <x:v>0</x:v>
      </x:c>
      <x:c r="Q245" s="163" t="n">
        <x:f>IF(COUNTA(A245:D245,G245,K245:N245)=0,0,IF(OR(Listas!$B$19="Todos",E245=Listas!$B$19,E245="",COUNTIFS(Lotes!$A$5:$A$204,D245)&lt;&gt;1),1,0))</x:f>
        <x:v>0</x:v>
      </x:c>
      <x:c r="R245" s="1"/>
      <x:c r="S245" s="1"/>
      <x:c r="T245" s="1"/>
      <x:c r="U245" s="1"/>
      <x:c r="V245" s="1"/>
      <x:c r="W245" s="1"/>
    </x:row>
    <x:row r="246" ht="32" customHeight="1">
      <x:c r="A246" s="170"/>
      <x:c r="B246" s="179"/>
      <x:c r="C246" s="170"/>
      <x:c r="D246" s="170"/>
      <x:c r="E246" s="40" t="str">
        <x:f>IF($D246="","",IFERROR(INDEX(Lotes!$B$5:$B$204,MATCH($D246,Lotes!$A$5:$A$204,0)),""))</x:f>
      </x:c>
      <x:c r="F246" s="40" t="str">
        <x:f>IF($D246="","",IFERROR(INDEX(Lotes!$C$5:$C$204,MATCH($D246,Lotes!$A$5:$A$204,0)),""))</x:f>
      </x:c>
      <x:c r="G246" s="27"/>
      <x:c r="H246" s="40" t="str">
        <x:f>IF(A246="","",IF(O246&lt;&gt;"","n.a.",IF(OR(C246="Saída",C246="Perda",C246="Ajuste negativo"),-G246,G246)))</x:f>
      </x:c>
      <x:c r="I246" s="181" t="str">
        <x:f>IF($D246="","",IFERROR(INDEX(Lotes!$K$5:$K$204,MATCH($D246,Lotes!$A$5:$A$204,0)),0))</x:f>
      </x:c>
      <x:c r="J246" s="181" t="str">
        <x:f>IF(A246="","",IF(O246&lt;&gt;"","n.a.",ABS(H246)*I246))</x:f>
      </x:c>
      <x:c r="K246" s="27"/>
      <x:c r="L246" s="27"/>
      <x:c r="M246" s="27"/>
      <x:c r="N246" s="27"/>
      <x:c r="O246" s="163" t="str">
        <x:f>IF(COUNTA(A246:D246,G246,K246:N246)=0,"",IF(OR(A246="",COUNTIFS($A$5:$A$304,A246)&lt;&gt;1),"ID ausente ou duplicado",IF(OR(NOT(ISNUMBER(B246)),B246&lt;=0),"Data ausente ou inválida",IF(AND(C246&lt;&gt;"Entrada",C246&lt;&gt;"Saída",C246&lt;&gt;"Perda",C246&lt;&gt;"Ajuste positivo",C246&lt;&gt;"Ajuste negativo"),"Tipo de movimento inválido",IF(OR(D246="",COUNTIFS(Lotes!$A$5:$A$204,D246)&lt;&gt;1),"Lote ausente ou desconhecido",IF(COUNTIFS(Lotes!$A$5:$A$204,D246,Lotes!$S$5:$S$204,"?*")&gt;0,"Revisar cadastro do lote",IF(B246&lt;INDEX(Lotes!$E$5:$E$204,MATCH(D246,Lotes!$A$5:$A$204,0)),"Movimento anterior ao recebimento",IF(OR(NOT(ISNUMBER(G246)),G246&lt;=0),"Quantidade ausente ou inválida",""))))))))</x:f>
      </x:c>
      <x:c r="P246" s="163" t="n">
        <x:f>IF(O246="",0,1)</x:f>
        <x:v>0</x:v>
      </x:c>
      <x:c r="Q246" s="163" t="n">
        <x:f>IF(COUNTA(A246:D246,G246,K246:N246)=0,0,IF(OR(Listas!$B$19="Todos",E246=Listas!$B$19,E246="",COUNTIFS(Lotes!$A$5:$A$204,D246)&lt;&gt;1),1,0))</x:f>
        <x:v>0</x:v>
      </x:c>
      <x:c r="R246" s="1"/>
      <x:c r="S246" s="1"/>
      <x:c r="T246" s="1"/>
      <x:c r="U246" s="1"/>
      <x:c r="V246" s="1"/>
      <x:c r="W246" s="1"/>
    </x:row>
    <x:row r="247" ht="32" customHeight="1">
      <x:c r="A247" s="170"/>
      <x:c r="B247" s="179"/>
      <x:c r="C247" s="170"/>
      <x:c r="D247" s="170"/>
      <x:c r="E247" s="40" t="str">
        <x:f>IF($D247="","",IFERROR(INDEX(Lotes!$B$5:$B$204,MATCH($D247,Lotes!$A$5:$A$204,0)),""))</x:f>
      </x:c>
      <x:c r="F247" s="40" t="str">
        <x:f>IF($D247="","",IFERROR(INDEX(Lotes!$C$5:$C$204,MATCH($D247,Lotes!$A$5:$A$204,0)),""))</x:f>
      </x:c>
      <x:c r="G247" s="27"/>
      <x:c r="H247" s="40" t="str">
        <x:f>IF(A247="","",IF(O247&lt;&gt;"","n.a.",IF(OR(C247="Saída",C247="Perda",C247="Ajuste negativo"),-G247,G247)))</x:f>
      </x:c>
      <x:c r="I247" s="181" t="str">
        <x:f>IF($D247="","",IFERROR(INDEX(Lotes!$K$5:$K$204,MATCH($D247,Lotes!$A$5:$A$204,0)),0))</x:f>
      </x:c>
      <x:c r="J247" s="181" t="str">
        <x:f>IF(A247="","",IF(O247&lt;&gt;"","n.a.",ABS(H247)*I247))</x:f>
      </x:c>
      <x:c r="K247" s="27"/>
      <x:c r="L247" s="27"/>
      <x:c r="M247" s="27"/>
      <x:c r="N247" s="27"/>
      <x:c r="O247" s="163" t="str">
        <x:f>IF(COUNTA(A247:D247,G247,K247:N247)=0,"",IF(OR(A247="",COUNTIFS($A$5:$A$304,A247)&lt;&gt;1),"ID ausente ou duplicado",IF(OR(NOT(ISNUMBER(B247)),B247&lt;=0),"Data ausente ou inválida",IF(AND(C247&lt;&gt;"Entrada",C247&lt;&gt;"Saída",C247&lt;&gt;"Perda",C247&lt;&gt;"Ajuste positivo",C247&lt;&gt;"Ajuste negativo"),"Tipo de movimento inválido",IF(OR(D247="",COUNTIFS(Lotes!$A$5:$A$204,D247)&lt;&gt;1),"Lote ausente ou desconhecido",IF(COUNTIFS(Lotes!$A$5:$A$204,D247,Lotes!$S$5:$S$204,"?*")&gt;0,"Revisar cadastro do lote",IF(B247&lt;INDEX(Lotes!$E$5:$E$204,MATCH(D247,Lotes!$A$5:$A$204,0)),"Movimento anterior ao recebimento",IF(OR(NOT(ISNUMBER(G247)),G247&lt;=0),"Quantidade ausente ou inválida",""))))))))</x:f>
      </x:c>
      <x:c r="P247" s="163" t="n">
        <x:f>IF(O247="",0,1)</x:f>
        <x:v>0</x:v>
      </x:c>
      <x:c r="Q247" s="163" t="n">
        <x:f>IF(COUNTA(A247:D247,G247,K247:N247)=0,0,IF(OR(Listas!$B$19="Todos",E247=Listas!$B$19,E247="",COUNTIFS(Lotes!$A$5:$A$204,D247)&lt;&gt;1),1,0))</x:f>
        <x:v>0</x:v>
      </x:c>
      <x:c r="R247" s="1"/>
      <x:c r="S247" s="1"/>
      <x:c r="T247" s="1"/>
      <x:c r="U247" s="1"/>
      <x:c r="V247" s="1"/>
      <x:c r="W247" s="1"/>
    </x:row>
    <x:row r="248" ht="32" customHeight="1">
      <x:c r="A248" s="170"/>
      <x:c r="B248" s="179"/>
      <x:c r="C248" s="170"/>
      <x:c r="D248" s="170"/>
      <x:c r="E248" s="40" t="str">
        <x:f>IF($D248="","",IFERROR(INDEX(Lotes!$B$5:$B$204,MATCH($D248,Lotes!$A$5:$A$204,0)),""))</x:f>
      </x:c>
      <x:c r="F248" s="40" t="str">
        <x:f>IF($D248="","",IFERROR(INDEX(Lotes!$C$5:$C$204,MATCH($D248,Lotes!$A$5:$A$204,0)),""))</x:f>
      </x:c>
      <x:c r="G248" s="27"/>
      <x:c r="H248" s="40" t="str">
        <x:f>IF(A248="","",IF(O248&lt;&gt;"","n.a.",IF(OR(C248="Saída",C248="Perda",C248="Ajuste negativo"),-G248,G248)))</x:f>
      </x:c>
      <x:c r="I248" s="181" t="str">
        <x:f>IF($D248="","",IFERROR(INDEX(Lotes!$K$5:$K$204,MATCH($D248,Lotes!$A$5:$A$204,0)),0))</x:f>
      </x:c>
      <x:c r="J248" s="181" t="str">
        <x:f>IF(A248="","",IF(O248&lt;&gt;"","n.a.",ABS(H248)*I248))</x:f>
      </x:c>
      <x:c r="K248" s="27"/>
      <x:c r="L248" s="27"/>
      <x:c r="M248" s="27"/>
      <x:c r="N248" s="27"/>
      <x:c r="O248" s="163" t="str">
        <x:f>IF(COUNTA(A248:D248,G248,K248:N248)=0,"",IF(OR(A248="",COUNTIFS($A$5:$A$304,A248)&lt;&gt;1),"ID ausente ou duplicado",IF(OR(NOT(ISNUMBER(B248)),B248&lt;=0),"Data ausente ou inválida",IF(AND(C248&lt;&gt;"Entrada",C248&lt;&gt;"Saída",C248&lt;&gt;"Perda",C248&lt;&gt;"Ajuste positivo",C248&lt;&gt;"Ajuste negativo"),"Tipo de movimento inválido",IF(OR(D248="",COUNTIFS(Lotes!$A$5:$A$204,D248)&lt;&gt;1),"Lote ausente ou desconhecido",IF(COUNTIFS(Lotes!$A$5:$A$204,D248,Lotes!$S$5:$S$204,"?*")&gt;0,"Revisar cadastro do lote",IF(B248&lt;INDEX(Lotes!$E$5:$E$204,MATCH(D248,Lotes!$A$5:$A$204,0)),"Movimento anterior ao recebimento",IF(OR(NOT(ISNUMBER(G248)),G248&lt;=0),"Quantidade ausente ou inválida",""))))))))</x:f>
      </x:c>
      <x:c r="P248" s="163" t="n">
        <x:f>IF(O248="",0,1)</x:f>
        <x:v>0</x:v>
      </x:c>
      <x:c r="Q248" s="163" t="n">
        <x:f>IF(COUNTA(A248:D248,G248,K248:N248)=0,0,IF(OR(Listas!$B$19="Todos",E248=Listas!$B$19,E248="",COUNTIFS(Lotes!$A$5:$A$204,D248)&lt;&gt;1),1,0))</x:f>
        <x:v>0</x:v>
      </x:c>
      <x:c r="R248" s="1"/>
      <x:c r="S248" s="1"/>
      <x:c r="T248" s="1"/>
      <x:c r="U248" s="1"/>
      <x:c r="V248" s="1"/>
      <x:c r="W248" s="1"/>
    </x:row>
    <x:row r="249" ht="32" customHeight="1">
      <x:c r="A249" s="170"/>
      <x:c r="B249" s="179"/>
      <x:c r="C249" s="170"/>
      <x:c r="D249" s="170"/>
      <x:c r="E249" s="40" t="str">
        <x:f>IF($D249="","",IFERROR(INDEX(Lotes!$B$5:$B$204,MATCH($D249,Lotes!$A$5:$A$204,0)),""))</x:f>
      </x:c>
      <x:c r="F249" s="40" t="str">
        <x:f>IF($D249="","",IFERROR(INDEX(Lotes!$C$5:$C$204,MATCH($D249,Lotes!$A$5:$A$204,0)),""))</x:f>
      </x:c>
      <x:c r="G249" s="27"/>
      <x:c r="H249" s="40" t="str">
        <x:f>IF(A249="","",IF(O249&lt;&gt;"","n.a.",IF(OR(C249="Saída",C249="Perda",C249="Ajuste negativo"),-G249,G249)))</x:f>
      </x:c>
      <x:c r="I249" s="181" t="str">
        <x:f>IF($D249="","",IFERROR(INDEX(Lotes!$K$5:$K$204,MATCH($D249,Lotes!$A$5:$A$204,0)),0))</x:f>
      </x:c>
      <x:c r="J249" s="181" t="str">
        <x:f>IF(A249="","",IF(O249&lt;&gt;"","n.a.",ABS(H249)*I249))</x:f>
      </x:c>
      <x:c r="K249" s="27"/>
      <x:c r="L249" s="27"/>
      <x:c r="M249" s="27"/>
      <x:c r="N249" s="27"/>
      <x:c r="O249" s="163" t="str">
        <x:f>IF(COUNTA(A249:D249,G249,K249:N249)=0,"",IF(OR(A249="",COUNTIFS($A$5:$A$304,A249)&lt;&gt;1),"ID ausente ou duplicado",IF(OR(NOT(ISNUMBER(B249)),B249&lt;=0),"Data ausente ou inválida",IF(AND(C249&lt;&gt;"Entrada",C249&lt;&gt;"Saída",C249&lt;&gt;"Perda",C249&lt;&gt;"Ajuste positivo",C249&lt;&gt;"Ajuste negativo"),"Tipo de movimento inválido",IF(OR(D249="",COUNTIFS(Lotes!$A$5:$A$204,D249)&lt;&gt;1),"Lote ausente ou desconhecido",IF(COUNTIFS(Lotes!$A$5:$A$204,D249,Lotes!$S$5:$S$204,"?*")&gt;0,"Revisar cadastro do lote",IF(B249&lt;INDEX(Lotes!$E$5:$E$204,MATCH(D249,Lotes!$A$5:$A$204,0)),"Movimento anterior ao recebimento",IF(OR(NOT(ISNUMBER(G249)),G249&lt;=0),"Quantidade ausente ou inválida",""))))))))</x:f>
      </x:c>
      <x:c r="P249" s="163" t="n">
        <x:f>IF(O249="",0,1)</x:f>
        <x:v>0</x:v>
      </x:c>
      <x:c r="Q249" s="163" t="n">
        <x:f>IF(COUNTA(A249:D249,G249,K249:N249)=0,0,IF(OR(Listas!$B$19="Todos",E249=Listas!$B$19,E249="",COUNTIFS(Lotes!$A$5:$A$204,D249)&lt;&gt;1),1,0))</x:f>
        <x:v>0</x:v>
      </x:c>
      <x:c r="R249" s="1"/>
      <x:c r="S249" s="1"/>
      <x:c r="T249" s="1"/>
      <x:c r="U249" s="1"/>
      <x:c r="V249" s="1"/>
      <x:c r="W249" s="1"/>
    </x:row>
    <x:row r="250" ht="32" customHeight="1">
      <x:c r="A250" s="170"/>
      <x:c r="B250" s="179"/>
      <x:c r="C250" s="170"/>
      <x:c r="D250" s="170"/>
      <x:c r="E250" s="40" t="str">
        <x:f>IF($D250="","",IFERROR(INDEX(Lotes!$B$5:$B$204,MATCH($D250,Lotes!$A$5:$A$204,0)),""))</x:f>
      </x:c>
      <x:c r="F250" s="40" t="str">
        <x:f>IF($D250="","",IFERROR(INDEX(Lotes!$C$5:$C$204,MATCH($D250,Lotes!$A$5:$A$204,0)),""))</x:f>
      </x:c>
      <x:c r="G250" s="27"/>
      <x:c r="H250" s="40" t="str">
        <x:f>IF(A250="","",IF(O250&lt;&gt;"","n.a.",IF(OR(C250="Saída",C250="Perda",C250="Ajuste negativo"),-G250,G250)))</x:f>
      </x:c>
      <x:c r="I250" s="181" t="str">
        <x:f>IF($D250="","",IFERROR(INDEX(Lotes!$K$5:$K$204,MATCH($D250,Lotes!$A$5:$A$204,0)),0))</x:f>
      </x:c>
      <x:c r="J250" s="181" t="str">
        <x:f>IF(A250="","",IF(O250&lt;&gt;"","n.a.",ABS(H250)*I250))</x:f>
      </x:c>
      <x:c r="K250" s="27"/>
      <x:c r="L250" s="27"/>
      <x:c r="M250" s="27"/>
      <x:c r="N250" s="27"/>
      <x:c r="O250" s="163" t="str">
        <x:f>IF(COUNTA(A250:D250,G250,K250:N250)=0,"",IF(OR(A250="",COUNTIFS($A$5:$A$304,A250)&lt;&gt;1),"ID ausente ou duplicado",IF(OR(NOT(ISNUMBER(B250)),B250&lt;=0),"Data ausente ou inválida",IF(AND(C250&lt;&gt;"Entrada",C250&lt;&gt;"Saída",C250&lt;&gt;"Perda",C250&lt;&gt;"Ajuste positivo",C250&lt;&gt;"Ajuste negativo"),"Tipo de movimento inválido",IF(OR(D250="",COUNTIFS(Lotes!$A$5:$A$204,D250)&lt;&gt;1),"Lote ausente ou desconhecido",IF(COUNTIFS(Lotes!$A$5:$A$204,D250,Lotes!$S$5:$S$204,"?*")&gt;0,"Revisar cadastro do lote",IF(B250&lt;INDEX(Lotes!$E$5:$E$204,MATCH(D250,Lotes!$A$5:$A$204,0)),"Movimento anterior ao recebimento",IF(OR(NOT(ISNUMBER(G250)),G250&lt;=0),"Quantidade ausente ou inválida",""))))))))</x:f>
      </x:c>
      <x:c r="P250" s="163" t="n">
        <x:f>IF(O250="",0,1)</x:f>
        <x:v>0</x:v>
      </x:c>
      <x:c r="Q250" s="163" t="n">
        <x:f>IF(COUNTA(A250:D250,G250,K250:N250)=0,0,IF(OR(Listas!$B$19="Todos",E250=Listas!$B$19,E250="",COUNTIFS(Lotes!$A$5:$A$204,D250)&lt;&gt;1),1,0))</x:f>
        <x:v>0</x:v>
      </x:c>
      <x:c r="R250" s="1"/>
      <x:c r="S250" s="1"/>
      <x:c r="T250" s="1"/>
      <x:c r="U250" s="1"/>
      <x:c r="V250" s="1"/>
      <x:c r="W250" s="1"/>
    </x:row>
    <x:row r="251" ht="32" customHeight="1">
      <x:c r="A251" s="170"/>
      <x:c r="B251" s="179"/>
      <x:c r="C251" s="170"/>
      <x:c r="D251" s="170"/>
      <x:c r="E251" s="40" t="str">
        <x:f>IF($D251="","",IFERROR(INDEX(Lotes!$B$5:$B$204,MATCH($D251,Lotes!$A$5:$A$204,0)),""))</x:f>
      </x:c>
      <x:c r="F251" s="40" t="str">
        <x:f>IF($D251="","",IFERROR(INDEX(Lotes!$C$5:$C$204,MATCH($D251,Lotes!$A$5:$A$204,0)),""))</x:f>
      </x:c>
      <x:c r="G251" s="27"/>
      <x:c r="H251" s="40" t="str">
        <x:f>IF(A251="","",IF(O251&lt;&gt;"","n.a.",IF(OR(C251="Saída",C251="Perda",C251="Ajuste negativo"),-G251,G251)))</x:f>
      </x:c>
      <x:c r="I251" s="181" t="str">
        <x:f>IF($D251="","",IFERROR(INDEX(Lotes!$K$5:$K$204,MATCH($D251,Lotes!$A$5:$A$204,0)),0))</x:f>
      </x:c>
      <x:c r="J251" s="181" t="str">
        <x:f>IF(A251="","",IF(O251&lt;&gt;"","n.a.",ABS(H251)*I251))</x:f>
      </x:c>
      <x:c r="K251" s="27"/>
      <x:c r="L251" s="27"/>
      <x:c r="M251" s="27"/>
      <x:c r="N251" s="27"/>
      <x:c r="O251" s="163" t="str">
        <x:f>IF(COUNTA(A251:D251,G251,K251:N251)=0,"",IF(OR(A251="",COUNTIFS($A$5:$A$304,A251)&lt;&gt;1),"ID ausente ou duplicado",IF(OR(NOT(ISNUMBER(B251)),B251&lt;=0),"Data ausente ou inválida",IF(AND(C251&lt;&gt;"Entrada",C251&lt;&gt;"Saída",C251&lt;&gt;"Perda",C251&lt;&gt;"Ajuste positivo",C251&lt;&gt;"Ajuste negativo"),"Tipo de movimento inválido",IF(OR(D251="",COUNTIFS(Lotes!$A$5:$A$204,D251)&lt;&gt;1),"Lote ausente ou desconhecido",IF(COUNTIFS(Lotes!$A$5:$A$204,D251,Lotes!$S$5:$S$204,"?*")&gt;0,"Revisar cadastro do lote",IF(B251&lt;INDEX(Lotes!$E$5:$E$204,MATCH(D251,Lotes!$A$5:$A$204,0)),"Movimento anterior ao recebimento",IF(OR(NOT(ISNUMBER(G251)),G251&lt;=0),"Quantidade ausente ou inválida",""))))))))</x:f>
      </x:c>
      <x:c r="P251" s="163" t="n">
        <x:f>IF(O251="",0,1)</x:f>
        <x:v>0</x:v>
      </x:c>
      <x:c r="Q251" s="163" t="n">
        <x:f>IF(COUNTA(A251:D251,G251,K251:N251)=0,0,IF(OR(Listas!$B$19="Todos",E251=Listas!$B$19,E251="",COUNTIFS(Lotes!$A$5:$A$204,D251)&lt;&gt;1),1,0))</x:f>
        <x:v>0</x:v>
      </x:c>
      <x:c r="R251" s="1"/>
      <x:c r="S251" s="1"/>
      <x:c r="T251" s="1"/>
      <x:c r="U251" s="1"/>
      <x:c r="V251" s="1"/>
      <x:c r="W251" s="1"/>
    </x:row>
    <x:row r="252" ht="32" customHeight="1">
      <x:c r="A252" s="170"/>
      <x:c r="B252" s="179"/>
      <x:c r="C252" s="170"/>
      <x:c r="D252" s="170"/>
      <x:c r="E252" s="40" t="str">
        <x:f>IF($D252="","",IFERROR(INDEX(Lotes!$B$5:$B$204,MATCH($D252,Lotes!$A$5:$A$204,0)),""))</x:f>
      </x:c>
      <x:c r="F252" s="40" t="str">
        <x:f>IF($D252="","",IFERROR(INDEX(Lotes!$C$5:$C$204,MATCH($D252,Lotes!$A$5:$A$204,0)),""))</x:f>
      </x:c>
      <x:c r="G252" s="27"/>
      <x:c r="H252" s="40" t="str">
        <x:f>IF(A252="","",IF(O252&lt;&gt;"","n.a.",IF(OR(C252="Saída",C252="Perda",C252="Ajuste negativo"),-G252,G252)))</x:f>
      </x:c>
      <x:c r="I252" s="181" t="str">
        <x:f>IF($D252="","",IFERROR(INDEX(Lotes!$K$5:$K$204,MATCH($D252,Lotes!$A$5:$A$204,0)),0))</x:f>
      </x:c>
      <x:c r="J252" s="181" t="str">
        <x:f>IF(A252="","",IF(O252&lt;&gt;"","n.a.",ABS(H252)*I252))</x:f>
      </x:c>
      <x:c r="K252" s="27"/>
      <x:c r="L252" s="27"/>
      <x:c r="M252" s="27"/>
      <x:c r="N252" s="27"/>
      <x:c r="O252" s="163" t="str">
        <x:f>IF(COUNTA(A252:D252,G252,K252:N252)=0,"",IF(OR(A252="",COUNTIFS($A$5:$A$304,A252)&lt;&gt;1),"ID ausente ou duplicado",IF(OR(NOT(ISNUMBER(B252)),B252&lt;=0),"Data ausente ou inválida",IF(AND(C252&lt;&gt;"Entrada",C252&lt;&gt;"Saída",C252&lt;&gt;"Perda",C252&lt;&gt;"Ajuste positivo",C252&lt;&gt;"Ajuste negativo"),"Tipo de movimento inválido",IF(OR(D252="",COUNTIFS(Lotes!$A$5:$A$204,D252)&lt;&gt;1),"Lote ausente ou desconhecido",IF(COUNTIFS(Lotes!$A$5:$A$204,D252,Lotes!$S$5:$S$204,"?*")&gt;0,"Revisar cadastro do lote",IF(B252&lt;INDEX(Lotes!$E$5:$E$204,MATCH(D252,Lotes!$A$5:$A$204,0)),"Movimento anterior ao recebimento",IF(OR(NOT(ISNUMBER(G252)),G252&lt;=0),"Quantidade ausente ou inválida",""))))))))</x:f>
      </x:c>
      <x:c r="P252" s="163" t="n">
        <x:f>IF(O252="",0,1)</x:f>
        <x:v>0</x:v>
      </x:c>
      <x:c r="Q252" s="163" t="n">
        <x:f>IF(COUNTA(A252:D252,G252,K252:N252)=0,0,IF(OR(Listas!$B$19="Todos",E252=Listas!$B$19,E252="",COUNTIFS(Lotes!$A$5:$A$204,D252)&lt;&gt;1),1,0))</x:f>
        <x:v>0</x:v>
      </x:c>
      <x:c r="R252" s="1"/>
      <x:c r="S252" s="1"/>
      <x:c r="T252" s="1"/>
      <x:c r="U252" s="1"/>
      <x:c r="V252" s="1"/>
      <x:c r="W252" s="1"/>
    </x:row>
    <x:row r="253" ht="32" customHeight="1">
      <x:c r="A253" s="170"/>
      <x:c r="B253" s="179"/>
      <x:c r="C253" s="170"/>
      <x:c r="D253" s="170"/>
      <x:c r="E253" s="40" t="str">
        <x:f>IF($D253="","",IFERROR(INDEX(Lotes!$B$5:$B$204,MATCH($D253,Lotes!$A$5:$A$204,0)),""))</x:f>
      </x:c>
      <x:c r="F253" s="40" t="str">
        <x:f>IF($D253="","",IFERROR(INDEX(Lotes!$C$5:$C$204,MATCH($D253,Lotes!$A$5:$A$204,0)),""))</x:f>
      </x:c>
      <x:c r="G253" s="27"/>
      <x:c r="H253" s="40" t="str">
        <x:f>IF(A253="","",IF(O253&lt;&gt;"","n.a.",IF(OR(C253="Saída",C253="Perda",C253="Ajuste negativo"),-G253,G253)))</x:f>
      </x:c>
      <x:c r="I253" s="181" t="str">
        <x:f>IF($D253="","",IFERROR(INDEX(Lotes!$K$5:$K$204,MATCH($D253,Lotes!$A$5:$A$204,0)),0))</x:f>
      </x:c>
      <x:c r="J253" s="181" t="str">
        <x:f>IF(A253="","",IF(O253&lt;&gt;"","n.a.",ABS(H253)*I253))</x:f>
      </x:c>
      <x:c r="K253" s="27"/>
      <x:c r="L253" s="27"/>
      <x:c r="M253" s="27"/>
      <x:c r="N253" s="27"/>
      <x:c r="O253" s="163" t="str">
        <x:f>IF(COUNTA(A253:D253,G253,K253:N253)=0,"",IF(OR(A253="",COUNTIFS($A$5:$A$304,A253)&lt;&gt;1),"ID ausente ou duplicado",IF(OR(NOT(ISNUMBER(B253)),B253&lt;=0),"Data ausente ou inválida",IF(AND(C253&lt;&gt;"Entrada",C253&lt;&gt;"Saída",C253&lt;&gt;"Perda",C253&lt;&gt;"Ajuste positivo",C253&lt;&gt;"Ajuste negativo"),"Tipo de movimento inválido",IF(OR(D253="",COUNTIFS(Lotes!$A$5:$A$204,D253)&lt;&gt;1),"Lote ausente ou desconhecido",IF(COUNTIFS(Lotes!$A$5:$A$204,D253,Lotes!$S$5:$S$204,"?*")&gt;0,"Revisar cadastro do lote",IF(B253&lt;INDEX(Lotes!$E$5:$E$204,MATCH(D253,Lotes!$A$5:$A$204,0)),"Movimento anterior ao recebimento",IF(OR(NOT(ISNUMBER(G253)),G253&lt;=0),"Quantidade ausente ou inválida",""))))))))</x:f>
      </x:c>
      <x:c r="P253" s="163" t="n">
        <x:f>IF(O253="",0,1)</x:f>
        <x:v>0</x:v>
      </x:c>
      <x:c r="Q253" s="163" t="n">
        <x:f>IF(COUNTA(A253:D253,G253,K253:N253)=0,0,IF(OR(Listas!$B$19="Todos",E253=Listas!$B$19,E253="",COUNTIFS(Lotes!$A$5:$A$204,D253)&lt;&gt;1),1,0))</x:f>
        <x:v>0</x:v>
      </x:c>
      <x:c r="R253" s="1"/>
      <x:c r="S253" s="1"/>
      <x:c r="T253" s="1"/>
      <x:c r="U253" s="1"/>
      <x:c r="V253" s="1"/>
      <x:c r="W253" s="1"/>
    </x:row>
    <x:row r="254" ht="32" customHeight="1">
      <x:c r="A254" s="170"/>
      <x:c r="B254" s="179"/>
      <x:c r="C254" s="170"/>
      <x:c r="D254" s="170"/>
      <x:c r="E254" s="40" t="str">
        <x:f>IF($D254="","",IFERROR(INDEX(Lotes!$B$5:$B$204,MATCH($D254,Lotes!$A$5:$A$204,0)),""))</x:f>
      </x:c>
      <x:c r="F254" s="40" t="str">
        <x:f>IF($D254="","",IFERROR(INDEX(Lotes!$C$5:$C$204,MATCH($D254,Lotes!$A$5:$A$204,0)),""))</x:f>
      </x:c>
      <x:c r="G254" s="27"/>
      <x:c r="H254" s="40" t="str">
        <x:f>IF(A254="","",IF(O254&lt;&gt;"","n.a.",IF(OR(C254="Saída",C254="Perda",C254="Ajuste negativo"),-G254,G254)))</x:f>
      </x:c>
      <x:c r="I254" s="181" t="str">
        <x:f>IF($D254="","",IFERROR(INDEX(Lotes!$K$5:$K$204,MATCH($D254,Lotes!$A$5:$A$204,0)),0))</x:f>
      </x:c>
      <x:c r="J254" s="181" t="str">
        <x:f>IF(A254="","",IF(O254&lt;&gt;"","n.a.",ABS(H254)*I254))</x:f>
      </x:c>
      <x:c r="K254" s="27"/>
      <x:c r="L254" s="27"/>
      <x:c r="M254" s="27"/>
      <x:c r="N254" s="27"/>
      <x:c r="O254" s="163" t="str">
        <x:f>IF(COUNTA(A254:D254,G254,K254:N254)=0,"",IF(OR(A254="",COUNTIFS($A$5:$A$304,A254)&lt;&gt;1),"ID ausente ou duplicado",IF(OR(NOT(ISNUMBER(B254)),B254&lt;=0),"Data ausente ou inválida",IF(AND(C254&lt;&gt;"Entrada",C254&lt;&gt;"Saída",C254&lt;&gt;"Perda",C254&lt;&gt;"Ajuste positivo",C254&lt;&gt;"Ajuste negativo"),"Tipo de movimento inválido",IF(OR(D254="",COUNTIFS(Lotes!$A$5:$A$204,D254)&lt;&gt;1),"Lote ausente ou desconhecido",IF(COUNTIFS(Lotes!$A$5:$A$204,D254,Lotes!$S$5:$S$204,"?*")&gt;0,"Revisar cadastro do lote",IF(B254&lt;INDEX(Lotes!$E$5:$E$204,MATCH(D254,Lotes!$A$5:$A$204,0)),"Movimento anterior ao recebimento",IF(OR(NOT(ISNUMBER(G254)),G254&lt;=0),"Quantidade ausente ou inválida",""))))))))</x:f>
      </x:c>
      <x:c r="P254" s="163" t="n">
        <x:f>IF(O254="",0,1)</x:f>
        <x:v>0</x:v>
      </x:c>
      <x:c r="Q254" s="163" t="n">
        <x:f>IF(COUNTA(A254:D254,G254,K254:N254)=0,0,IF(OR(Listas!$B$19="Todos",E254=Listas!$B$19,E254="",COUNTIFS(Lotes!$A$5:$A$204,D254)&lt;&gt;1),1,0))</x:f>
        <x:v>0</x:v>
      </x:c>
      <x:c r="R254" s="1"/>
      <x:c r="S254" s="1"/>
      <x:c r="T254" s="1"/>
      <x:c r="U254" s="1"/>
      <x:c r="V254" s="1"/>
      <x:c r="W254" s="1"/>
    </x:row>
    <x:row r="255" ht="32" customHeight="1">
      <x:c r="A255" s="170"/>
      <x:c r="B255" s="179"/>
      <x:c r="C255" s="170"/>
      <x:c r="D255" s="170"/>
      <x:c r="E255" s="40" t="str">
        <x:f>IF($D255="","",IFERROR(INDEX(Lotes!$B$5:$B$204,MATCH($D255,Lotes!$A$5:$A$204,0)),""))</x:f>
      </x:c>
      <x:c r="F255" s="40" t="str">
        <x:f>IF($D255="","",IFERROR(INDEX(Lotes!$C$5:$C$204,MATCH($D255,Lotes!$A$5:$A$204,0)),""))</x:f>
      </x:c>
      <x:c r="G255" s="27"/>
      <x:c r="H255" s="40" t="str">
        <x:f>IF(A255="","",IF(O255&lt;&gt;"","n.a.",IF(OR(C255="Saída",C255="Perda",C255="Ajuste negativo"),-G255,G255)))</x:f>
      </x:c>
      <x:c r="I255" s="181" t="str">
        <x:f>IF($D255="","",IFERROR(INDEX(Lotes!$K$5:$K$204,MATCH($D255,Lotes!$A$5:$A$204,0)),0))</x:f>
      </x:c>
      <x:c r="J255" s="181" t="str">
        <x:f>IF(A255="","",IF(O255&lt;&gt;"","n.a.",ABS(H255)*I255))</x:f>
      </x:c>
      <x:c r="K255" s="27"/>
      <x:c r="L255" s="27"/>
      <x:c r="M255" s="27"/>
      <x:c r="N255" s="27"/>
      <x:c r="O255" s="163" t="str">
        <x:f>IF(COUNTA(A255:D255,G255,K255:N255)=0,"",IF(OR(A255="",COUNTIFS($A$5:$A$304,A255)&lt;&gt;1),"ID ausente ou duplicado",IF(OR(NOT(ISNUMBER(B255)),B255&lt;=0),"Data ausente ou inválida",IF(AND(C255&lt;&gt;"Entrada",C255&lt;&gt;"Saída",C255&lt;&gt;"Perda",C255&lt;&gt;"Ajuste positivo",C255&lt;&gt;"Ajuste negativo"),"Tipo de movimento inválido",IF(OR(D255="",COUNTIFS(Lotes!$A$5:$A$204,D255)&lt;&gt;1),"Lote ausente ou desconhecido",IF(COUNTIFS(Lotes!$A$5:$A$204,D255,Lotes!$S$5:$S$204,"?*")&gt;0,"Revisar cadastro do lote",IF(B255&lt;INDEX(Lotes!$E$5:$E$204,MATCH(D255,Lotes!$A$5:$A$204,0)),"Movimento anterior ao recebimento",IF(OR(NOT(ISNUMBER(G255)),G255&lt;=0),"Quantidade ausente ou inválida",""))))))))</x:f>
      </x:c>
      <x:c r="P255" s="163" t="n">
        <x:f>IF(O255="",0,1)</x:f>
        <x:v>0</x:v>
      </x:c>
      <x:c r="Q255" s="163" t="n">
        <x:f>IF(COUNTA(A255:D255,G255,K255:N255)=0,0,IF(OR(Listas!$B$19="Todos",E255=Listas!$B$19,E255="",COUNTIFS(Lotes!$A$5:$A$204,D255)&lt;&gt;1),1,0))</x:f>
        <x:v>0</x:v>
      </x:c>
      <x:c r="R255" s="1"/>
      <x:c r="S255" s="1"/>
      <x:c r="T255" s="1"/>
      <x:c r="U255" s="1"/>
      <x:c r="V255" s="1"/>
      <x:c r="W255" s="1"/>
    </x:row>
    <x:row r="256" ht="32" customHeight="1">
      <x:c r="A256" s="170"/>
      <x:c r="B256" s="179"/>
      <x:c r="C256" s="170"/>
      <x:c r="D256" s="170"/>
      <x:c r="E256" s="40" t="str">
        <x:f>IF($D256="","",IFERROR(INDEX(Lotes!$B$5:$B$204,MATCH($D256,Lotes!$A$5:$A$204,0)),""))</x:f>
      </x:c>
      <x:c r="F256" s="40" t="str">
        <x:f>IF($D256="","",IFERROR(INDEX(Lotes!$C$5:$C$204,MATCH($D256,Lotes!$A$5:$A$204,0)),""))</x:f>
      </x:c>
      <x:c r="G256" s="27"/>
      <x:c r="H256" s="40" t="str">
        <x:f>IF(A256="","",IF(O256&lt;&gt;"","n.a.",IF(OR(C256="Saída",C256="Perda",C256="Ajuste negativo"),-G256,G256)))</x:f>
      </x:c>
      <x:c r="I256" s="181" t="str">
        <x:f>IF($D256="","",IFERROR(INDEX(Lotes!$K$5:$K$204,MATCH($D256,Lotes!$A$5:$A$204,0)),0))</x:f>
      </x:c>
      <x:c r="J256" s="181" t="str">
        <x:f>IF(A256="","",IF(O256&lt;&gt;"","n.a.",ABS(H256)*I256))</x:f>
      </x:c>
      <x:c r="K256" s="27"/>
      <x:c r="L256" s="27"/>
      <x:c r="M256" s="27"/>
      <x:c r="N256" s="27"/>
      <x:c r="O256" s="163" t="str">
        <x:f>IF(COUNTA(A256:D256,G256,K256:N256)=0,"",IF(OR(A256="",COUNTIFS($A$5:$A$304,A256)&lt;&gt;1),"ID ausente ou duplicado",IF(OR(NOT(ISNUMBER(B256)),B256&lt;=0),"Data ausente ou inválida",IF(AND(C256&lt;&gt;"Entrada",C256&lt;&gt;"Saída",C256&lt;&gt;"Perda",C256&lt;&gt;"Ajuste positivo",C256&lt;&gt;"Ajuste negativo"),"Tipo de movimento inválido",IF(OR(D256="",COUNTIFS(Lotes!$A$5:$A$204,D256)&lt;&gt;1),"Lote ausente ou desconhecido",IF(COUNTIFS(Lotes!$A$5:$A$204,D256,Lotes!$S$5:$S$204,"?*")&gt;0,"Revisar cadastro do lote",IF(B256&lt;INDEX(Lotes!$E$5:$E$204,MATCH(D256,Lotes!$A$5:$A$204,0)),"Movimento anterior ao recebimento",IF(OR(NOT(ISNUMBER(G256)),G256&lt;=0),"Quantidade ausente ou inválida",""))))))))</x:f>
      </x:c>
      <x:c r="P256" s="163" t="n">
        <x:f>IF(O256="",0,1)</x:f>
        <x:v>0</x:v>
      </x:c>
      <x:c r="Q256" s="163" t="n">
        <x:f>IF(COUNTA(A256:D256,G256,K256:N256)=0,0,IF(OR(Listas!$B$19="Todos",E256=Listas!$B$19,E256="",COUNTIFS(Lotes!$A$5:$A$204,D256)&lt;&gt;1),1,0))</x:f>
        <x:v>0</x:v>
      </x:c>
      <x:c r="R256" s="1"/>
      <x:c r="S256" s="1"/>
      <x:c r="T256" s="1"/>
      <x:c r="U256" s="1"/>
      <x:c r="V256" s="1"/>
      <x:c r="W256" s="1"/>
    </x:row>
    <x:row r="257" ht="32" customHeight="1">
      <x:c r="A257" s="170"/>
      <x:c r="B257" s="179"/>
      <x:c r="C257" s="170"/>
      <x:c r="D257" s="170"/>
      <x:c r="E257" s="40" t="str">
        <x:f>IF($D257="","",IFERROR(INDEX(Lotes!$B$5:$B$204,MATCH($D257,Lotes!$A$5:$A$204,0)),""))</x:f>
      </x:c>
      <x:c r="F257" s="40" t="str">
        <x:f>IF($D257="","",IFERROR(INDEX(Lotes!$C$5:$C$204,MATCH($D257,Lotes!$A$5:$A$204,0)),""))</x:f>
      </x:c>
      <x:c r="G257" s="27"/>
      <x:c r="H257" s="40" t="str">
        <x:f>IF(A257="","",IF(O257&lt;&gt;"","n.a.",IF(OR(C257="Saída",C257="Perda",C257="Ajuste negativo"),-G257,G257)))</x:f>
      </x:c>
      <x:c r="I257" s="181" t="str">
        <x:f>IF($D257="","",IFERROR(INDEX(Lotes!$K$5:$K$204,MATCH($D257,Lotes!$A$5:$A$204,0)),0))</x:f>
      </x:c>
      <x:c r="J257" s="181" t="str">
        <x:f>IF(A257="","",IF(O257&lt;&gt;"","n.a.",ABS(H257)*I257))</x:f>
      </x:c>
      <x:c r="K257" s="27"/>
      <x:c r="L257" s="27"/>
      <x:c r="M257" s="27"/>
      <x:c r="N257" s="27"/>
      <x:c r="O257" s="163" t="str">
        <x:f>IF(COUNTA(A257:D257,G257,K257:N257)=0,"",IF(OR(A257="",COUNTIFS($A$5:$A$304,A257)&lt;&gt;1),"ID ausente ou duplicado",IF(OR(NOT(ISNUMBER(B257)),B257&lt;=0),"Data ausente ou inválida",IF(AND(C257&lt;&gt;"Entrada",C257&lt;&gt;"Saída",C257&lt;&gt;"Perda",C257&lt;&gt;"Ajuste positivo",C257&lt;&gt;"Ajuste negativo"),"Tipo de movimento inválido",IF(OR(D257="",COUNTIFS(Lotes!$A$5:$A$204,D257)&lt;&gt;1),"Lote ausente ou desconhecido",IF(COUNTIFS(Lotes!$A$5:$A$204,D257,Lotes!$S$5:$S$204,"?*")&gt;0,"Revisar cadastro do lote",IF(B257&lt;INDEX(Lotes!$E$5:$E$204,MATCH(D257,Lotes!$A$5:$A$204,0)),"Movimento anterior ao recebimento",IF(OR(NOT(ISNUMBER(G257)),G257&lt;=0),"Quantidade ausente ou inválida",""))))))))</x:f>
      </x:c>
      <x:c r="P257" s="163" t="n">
        <x:f>IF(O257="",0,1)</x:f>
        <x:v>0</x:v>
      </x:c>
      <x:c r="Q257" s="163" t="n">
        <x:f>IF(COUNTA(A257:D257,G257,K257:N257)=0,0,IF(OR(Listas!$B$19="Todos",E257=Listas!$B$19,E257="",COUNTIFS(Lotes!$A$5:$A$204,D257)&lt;&gt;1),1,0))</x:f>
        <x:v>0</x:v>
      </x:c>
      <x:c r="R257" s="1"/>
      <x:c r="S257" s="1"/>
      <x:c r="T257" s="1"/>
      <x:c r="U257" s="1"/>
      <x:c r="V257" s="1"/>
      <x:c r="W257" s="1"/>
    </x:row>
    <x:row r="258" ht="32" customHeight="1">
      <x:c r="A258" s="170"/>
      <x:c r="B258" s="179"/>
      <x:c r="C258" s="170"/>
      <x:c r="D258" s="170"/>
      <x:c r="E258" s="40" t="str">
        <x:f>IF($D258="","",IFERROR(INDEX(Lotes!$B$5:$B$204,MATCH($D258,Lotes!$A$5:$A$204,0)),""))</x:f>
      </x:c>
      <x:c r="F258" s="40" t="str">
        <x:f>IF($D258="","",IFERROR(INDEX(Lotes!$C$5:$C$204,MATCH($D258,Lotes!$A$5:$A$204,0)),""))</x:f>
      </x:c>
      <x:c r="G258" s="27"/>
      <x:c r="H258" s="40" t="str">
        <x:f>IF(A258="","",IF(O258&lt;&gt;"","n.a.",IF(OR(C258="Saída",C258="Perda",C258="Ajuste negativo"),-G258,G258)))</x:f>
      </x:c>
      <x:c r="I258" s="181" t="str">
        <x:f>IF($D258="","",IFERROR(INDEX(Lotes!$K$5:$K$204,MATCH($D258,Lotes!$A$5:$A$204,0)),0))</x:f>
      </x:c>
      <x:c r="J258" s="181" t="str">
        <x:f>IF(A258="","",IF(O258&lt;&gt;"","n.a.",ABS(H258)*I258))</x:f>
      </x:c>
      <x:c r="K258" s="27"/>
      <x:c r="L258" s="27"/>
      <x:c r="M258" s="27"/>
      <x:c r="N258" s="27"/>
      <x:c r="O258" s="163" t="str">
        <x:f>IF(COUNTA(A258:D258,G258,K258:N258)=0,"",IF(OR(A258="",COUNTIFS($A$5:$A$304,A258)&lt;&gt;1),"ID ausente ou duplicado",IF(OR(NOT(ISNUMBER(B258)),B258&lt;=0),"Data ausente ou inválida",IF(AND(C258&lt;&gt;"Entrada",C258&lt;&gt;"Saída",C258&lt;&gt;"Perda",C258&lt;&gt;"Ajuste positivo",C258&lt;&gt;"Ajuste negativo"),"Tipo de movimento inválido",IF(OR(D258="",COUNTIFS(Lotes!$A$5:$A$204,D258)&lt;&gt;1),"Lote ausente ou desconhecido",IF(COUNTIFS(Lotes!$A$5:$A$204,D258,Lotes!$S$5:$S$204,"?*")&gt;0,"Revisar cadastro do lote",IF(B258&lt;INDEX(Lotes!$E$5:$E$204,MATCH(D258,Lotes!$A$5:$A$204,0)),"Movimento anterior ao recebimento",IF(OR(NOT(ISNUMBER(G258)),G258&lt;=0),"Quantidade ausente ou inválida",""))))))))</x:f>
      </x:c>
      <x:c r="P258" s="163" t="n">
        <x:f>IF(O258="",0,1)</x:f>
        <x:v>0</x:v>
      </x:c>
      <x:c r="Q258" s="163" t="n">
        <x:f>IF(COUNTA(A258:D258,G258,K258:N258)=0,0,IF(OR(Listas!$B$19="Todos",E258=Listas!$B$19,E258="",COUNTIFS(Lotes!$A$5:$A$204,D258)&lt;&gt;1),1,0))</x:f>
        <x:v>0</x:v>
      </x:c>
      <x:c r="R258" s="1"/>
      <x:c r="S258" s="1"/>
      <x:c r="T258" s="1"/>
      <x:c r="U258" s="1"/>
      <x:c r="V258" s="1"/>
      <x:c r="W258" s="1"/>
    </x:row>
    <x:row r="259" ht="32" customHeight="1">
      <x:c r="A259" s="170"/>
      <x:c r="B259" s="179"/>
      <x:c r="C259" s="170"/>
      <x:c r="D259" s="170"/>
      <x:c r="E259" s="40" t="str">
        <x:f>IF($D259="","",IFERROR(INDEX(Lotes!$B$5:$B$204,MATCH($D259,Lotes!$A$5:$A$204,0)),""))</x:f>
      </x:c>
      <x:c r="F259" s="40" t="str">
        <x:f>IF($D259="","",IFERROR(INDEX(Lotes!$C$5:$C$204,MATCH($D259,Lotes!$A$5:$A$204,0)),""))</x:f>
      </x:c>
      <x:c r="G259" s="27"/>
      <x:c r="H259" s="40" t="str">
        <x:f>IF(A259="","",IF(O259&lt;&gt;"","n.a.",IF(OR(C259="Saída",C259="Perda",C259="Ajuste negativo"),-G259,G259)))</x:f>
      </x:c>
      <x:c r="I259" s="181" t="str">
        <x:f>IF($D259="","",IFERROR(INDEX(Lotes!$K$5:$K$204,MATCH($D259,Lotes!$A$5:$A$204,0)),0))</x:f>
      </x:c>
      <x:c r="J259" s="181" t="str">
        <x:f>IF(A259="","",IF(O259&lt;&gt;"","n.a.",ABS(H259)*I259))</x:f>
      </x:c>
      <x:c r="K259" s="27"/>
      <x:c r="L259" s="27"/>
      <x:c r="M259" s="27"/>
      <x:c r="N259" s="27"/>
      <x:c r="O259" s="163" t="str">
        <x:f>IF(COUNTA(A259:D259,G259,K259:N259)=0,"",IF(OR(A259="",COUNTIFS($A$5:$A$304,A259)&lt;&gt;1),"ID ausente ou duplicado",IF(OR(NOT(ISNUMBER(B259)),B259&lt;=0),"Data ausente ou inválida",IF(AND(C259&lt;&gt;"Entrada",C259&lt;&gt;"Saída",C259&lt;&gt;"Perda",C259&lt;&gt;"Ajuste positivo",C259&lt;&gt;"Ajuste negativo"),"Tipo de movimento inválido",IF(OR(D259="",COUNTIFS(Lotes!$A$5:$A$204,D259)&lt;&gt;1),"Lote ausente ou desconhecido",IF(COUNTIFS(Lotes!$A$5:$A$204,D259,Lotes!$S$5:$S$204,"?*")&gt;0,"Revisar cadastro do lote",IF(B259&lt;INDEX(Lotes!$E$5:$E$204,MATCH(D259,Lotes!$A$5:$A$204,0)),"Movimento anterior ao recebimento",IF(OR(NOT(ISNUMBER(G259)),G259&lt;=0),"Quantidade ausente ou inválida",""))))))))</x:f>
      </x:c>
      <x:c r="P259" s="163" t="n">
        <x:f>IF(O259="",0,1)</x:f>
        <x:v>0</x:v>
      </x:c>
      <x:c r="Q259" s="163" t="n">
        <x:f>IF(COUNTA(A259:D259,G259,K259:N259)=0,0,IF(OR(Listas!$B$19="Todos",E259=Listas!$B$19,E259="",COUNTIFS(Lotes!$A$5:$A$204,D259)&lt;&gt;1),1,0))</x:f>
        <x:v>0</x:v>
      </x:c>
      <x:c r="R259" s="1"/>
      <x:c r="S259" s="1"/>
      <x:c r="T259" s="1"/>
      <x:c r="U259" s="1"/>
      <x:c r="V259" s="1"/>
      <x:c r="W259" s="1"/>
    </x:row>
    <x:row r="260" ht="32" customHeight="1">
      <x:c r="A260" s="170"/>
      <x:c r="B260" s="179"/>
      <x:c r="C260" s="170"/>
      <x:c r="D260" s="170"/>
      <x:c r="E260" s="40" t="str">
        <x:f>IF($D260="","",IFERROR(INDEX(Lotes!$B$5:$B$204,MATCH($D260,Lotes!$A$5:$A$204,0)),""))</x:f>
      </x:c>
      <x:c r="F260" s="40" t="str">
        <x:f>IF($D260="","",IFERROR(INDEX(Lotes!$C$5:$C$204,MATCH($D260,Lotes!$A$5:$A$204,0)),""))</x:f>
      </x:c>
      <x:c r="G260" s="27"/>
      <x:c r="H260" s="40" t="str">
        <x:f>IF(A260="","",IF(O260&lt;&gt;"","n.a.",IF(OR(C260="Saída",C260="Perda",C260="Ajuste negativo"),-G260,G260)))</x:f>
      </x:c>
      <x:c r="I260" s="181" t="str">
        <x:f>IF($D260="","",IFERROR(INDEX(Lotes!$K$5:$K$204,MATCH($D260,Lotes!$A$5:$A$204,0)),0))</x:f>
      </x:c>
      <x:c r="J260" s="181" t="str">
        <x:f>IF(A260="","",IF(O260&lt;&gt;"","n.a.",ABS(H260)*I260))</x:f>
      </x:c>
      <x:c r="K260" s="27"/>
      <x:c r="L260" s="27"/>
      <x:c r="M260" s="27"/>
      <x:c r="N260" s="27"/>
      <x:c r="O260" s="163" t="str">
        <x:f>IF(COUNTA(A260:D260,G260,K260:N260)=0,"",IF(OR(A260="",COUNTIFS($A$5:$A$304,A260)&lt;&gt;1),"ID ausente ou duplicado",IF(OR(NOT(ISNUMBER(B260)),B260&lt;=0),"Data ausente ou inválida",IF(AND(C260&lt;&gt;"Entrada",C260&lt;&gt;"Saída",C260&lt;&gt;"Perda",C260&lt;&gt;"Ajuste positivo",C260&lt;&gt;"Ajuste negativo"),"Tipo de movimento inválido",IF(OR(D260="",COUNTIFS(Lotes!$A$5:$A$204,D260)&lt;&gt;1),"Lote ausente ou desconhecido",IF(COUNTIFS(Lotes!$A$5:$A$204,D260,Lotes!$S$5:$S$204,"?*")&gt;0,"Revisar cadastro do lote",IF(B260&lt;INDEX(Lotes!$E$5:$E$204,MATCH(D260,Lotes!$A$5:$A$204,0)),"Movimento anterior ao recebimento",IF(OR(NOT(ISNUMBER(G260)),G260&lt;=0),"Quantidade ausente ou inválida",""))))))))</x:f>
      </x:c>
      <x:c r="P260" s="163" t="n">
        <x:f>IF(O260="",0,1)</x:f>
        <x:v>0</x:v>
      </x:c>
      <x:c r="Q260" s="163" t="n">
        <x:f>IF(COUNTA(A260:D260,G260,K260:N260)=0,0,IF(OR(Listas!$B$19="Todos",E260=Listas!$B$19,E260="",COUNTIFS(Lotes!$A$5:$A$204,D260)&lt;&gt;1),1,0))</x:f>
        <x:v>0</x:v>
      </x:c>
      <x:c r="R260" s="1"/>
      <x:c r="S260" s="1"/>
      <x:c r="T260" s="1"/>
      <x:c r="U260" s="1"/>
      <x:c r="V260" s="1"/>
      <x:c r="W260" s="1"/>
    </x:row>
    <x:row r="261" ht="32" customHeight="1">
      <x:c r="A261" s="170"/>
      <x:c r="B261" s="179"/>
      <x:c r="C261" s="170"/>
      <x:c r="D261" s="170"/>
      <x:c r="E261" s="40" t="str">
        <x:f>IF($D261="","",IFERROR(INDEX(Lotes!$B$5:$B$204,MATCH($D261,Lotes!$A$5:$A$204,0)),""))</x:f>
      </x:c>
      <x:c r="F261" s="40" t="str">
        <x:f>IF($D261="","",IFERROR(INDEX(Lotes!$C$5:$C$204,MATCH($D261,Lotes!$A$5:$A$204,0)),""))</x:f>
      </x:c>
      <x:c r="G261" s="27"/>
      <x:c r="H261" s="40" t="str">
        <x:f>IF(A261="","",IF(O261&lt;&gt;"","n.a.",IF(OR(C261="Saída",C261="Perda",C261="Ajuste negativo"),-G261,G261)))</x:f>
      </x:c>
      <x:c r="I261" s="181" t="str">
        <x:f>IF($D261="","",IFERROR(INDEX(Lotes!$K$5:$K$204,MATCH($D261,Lotes!$A$5:$A$204,0)),0))</x:f>
      </x:c>
      <x:c r="J261" s="181" t="str">
        <x:f>IF(A261="","",IF(O261&lt;&gt;"","n.a.",ABS(H261)*I261))</x:f>
      </x:c>
      <x:c r="K261" s="27"/>
      <x:c r="L261" s="27"/>
      <x:c r="M261" s="27"/>
      <x:c r="N261" s="27"/>
      <x:c r="O261" s="163" t="str">
        <x:f>IF(COUNTA(A261:D261,G261,K261:N261)=0,"",IF(OR(A261="",COUNTIFS($A$5:$A$304,A261)&lt;&gt;1),"ID ausente ou duplicado",IF(OR(NOT(ISNUMBER(B261)),B261&lt;=0),"Data ausente ou inválida",IF(AND(C261&lt;&gt;"Entrada",C261&lt;&gt;"Saída",C261&lt;&gt;"Perda",C261&lt;&gt;"Ajuste positivo",C261&lt;&gt;"Ajuste negativo"),"Tipo de movimento inválido",IF(OR(D261="",COUNTIFS(Lotes!$A$5:$A$204,D261)&lt;&gt;1),"Lote ausente ou desconhecido",IF(COUNTIFS(Lotes!$A$5:$A$204,D261,Lotes!$S$5:$S$204,"?*")&gt;0,"Revisar cadastro do lote",IF(B261&lt;INDEX(Lotes!$E$5:$E$204,MATCH(D261,Lotes!$A$5:$A$204,0)),"Movimento anterior ao recebimento",IF(OR(NOT(ISNUMBER(G261)),G261&lt;=0),"Quantidade ausente ou inválida",""))))))))</x:f>
      </x:c>
      <x:c r="P261" s="163" t="n">
        <x:f>IF(O261="",0,1)</x:f>
        <x:v>0</x:v>
      </x:c>
      <x:c r="Q261" s="163" t="n">
        <x:f>IF(COUNTA(A261:D261,G261,K261:N261)=0,0,IF(OR(Listas!$B$19="Todos",E261=Listas!$B$19,E261="",COUNTIFS(Lotes!$A$5:$A$204,D261)&lt;&gt;1),1,0))</x:f>
        <x:v>0</x:v>
      </x:c>
      <x:c r="R261" s="1"/>
      <x:c r="S261" s="1"/>
      <x:c r="T261" s="1"/>
      <x:c r="U261" s="1"/>
      <x:c r="V261" s="1"/>
      <x:c r="W261" s="1"/>
    </x:row>
    <x:row r="262" ht="32" customHeight="1">
      <x:c r="A262" s="170"/>
      <x:c r="B262" s="179"/>
      <x:c r="C262" s="170"/>
      <x:c r="D262" s="170"/>
      <x:c r="E262" s="40" t="str">
        <x:f>IF($D262="","",IFERROR(INDEX(Lotes!$B$5:$B$204,MATCH($D262,Lotes!$A$5:$A$204,0)),""))</x:f>
      </x:c>
      <x:c r="F262" s="40" t="str">
        <x:f>IF($D262="","",IFERROR(INDEX(Lotes!$C$5:$C$204,MATCH($D262,Lotes!$A$5:$A$204,0)),""))</x:f>
      </x:c>
      <x:c r="G262" s="27"/>
      <x:c r="H262" s="40" t="str">
        <x:f>IF(A262="","",IF(O262&lt;&gt;"","n.a.",IF(OR(C262="Saída",C262="Perda",C262="Ajuste negativo"),-G262,G262)))</x:f>
      </x:c>
      <x:c r="I262" s="181" t="str">
        <x:f>IF($D262="","",IFERROR(INDEX(Lotes!$K$5:$K$204,MATCH($D262,Lotes!$A$5:$A$204,0)),0))</x:f>
      </x:c>
      <x:c r="J262" s="181" t="str">
        <x:f>IF(A262="","",IF(O262&lt;&gt;"","n.a.",ABS(H262)*I262))</x:f>
      </x:c>
      <x:c r="K262" s="27"/>
      <x:c r="L262" s="27"/>
      <x:c r="M262" s="27"/>
      <x:c r="N262" s="27"/>
      <x:c r="O262" s="163" t="str">
        <x:f>IF(COUNTA(A262:D262,G262,K262:N262)=0,"",IF(OR(A262="",COUNTIFS($A$5:$A$304,A262)&lt;&gt;1),"ID ausente ou duplicado",IF(OR(NOT(ISNUMBER(B262)),B262&lt;=0),"Data ausente ou inválida",IF(AND(C262&lt;&gt;"Entrada",C262&lt;&gt;"Saída",C262&lt;&gt;"Perda",C262&lt;&gt;"Ajuste positivo",C262&lt;&gt;"Ajuste negativo"),"Tipo de movimento inválido",IF(OR(D262="",COUNTIFS(Lotes!$A$5:$A$204,D262)&lt;&gt;1),"Lote ausente ou desconhecido",IF(COUNTIFS(Lotes!$A$5:$A$204,D262,Lotes!$S$5:$S$204,"?*")&gt;0,"Revisar cadastro do lote",IF(B262&lt;INDEX(Lotes!$E$5:$E$204,MATCH(D262,Lotes!$A$5:$A$204,0)),"Movimento anterior ao recebimento",IF(OR(NOT(ISNUMBER(G262)),G262&lt;=0),"Quantidade ausente ou inválida",""))))))))</x:f>
      </x:c>
      <x:c r="P262" s="163" t="n">
        <x:f>IF(O262="",0,1)</x:f>
        <x:v>0</x:v>
      </x:c>
      <x:c r="Q262" s="163" t="n">
        <x:f>IF(COUNTA(A262:D262,G262,K262:N262)=0,0,IF(OR(Listas!$B$19="Todos",E262=Listas!$B$19,E262="",COUNTIFS(Lotes!$A$5:$A$204,D262)&lt;&gt;1),1,0))</x:f>
        <x:v>0</x:v>
      </x:c>
      <x:c r="R262" s="1"/>
      <x:c r="S262" s="1"/>
      <x:c r="T262" s="1"/>
      <x:c r="U262" s="1"/>
      <x:c r="V262" s="1"/>
      <x:c r="W262" s="1"/>
    </x:row>
    <x:row r="263" ht="32" customHeight="1">
      <x:c r="A263" s="170"/>
      <x:c r="B263" s="179"/>
      <x:c r="C263" s="170"/>
      <x:c r="D263" s="170"/>
      <x:c r="E263" s="40" t="str">
        <x:f>IF($D263="","",IFERROR(INDEX(Lotes!$B$5:$B$204,MATCH($D263,Lotes!$A$5:$A$204,0)),""))</x:f>
      </x:c>
      <x:c r="F263" s="40" t="str">
        <x:f>IF($D263="","",IFERROR(INDEX(Lotes!$C$5:$C$204,MATCH($D263,Lotes!$A$5:$A$204,0)),""))</x:f>
      </x:c>
      <x:c r="G263" s="27"/>
      <x:c r="H263" s="40" t="str">
        <x:f>IF(A263="","",IF(O263&lt;&gt;"","n.a.",IF(OR(C263="Saída",C263="Perda",C263="Ajuste negativo"),-G263,G263)))</x:f>
      </x:c>
      <x:c r="I263" s="181" t="str">
        <x:f>IF($D263="","",IFERROR(INDEX(Lotes!$K$5:$K$204,MATCH($D263,Lotes!$A$5:$A$204,0)),0))</x:f>
      </x:c>
      <x:c r="J263" s="181" t="str">
        <x:f>IF(A263="","",IF(O263&lt;&gt;"","n.a.",ABS(H263)*I263))</x:f>
      </x:c>
      <x:c r="K263" s="27"/>
      <x:c r="L263" s="27"/>
      <x:c r="M263" s="27"/>
      <x:c r="N263" s="27"/>
      <x:c r="O263" s="163" t="str">
        <x:f>IF(COUNTA(A263:D263,G263,K263:N263)=0,"",IF(OR(A263="",COUNTIFS($A$5:$A$304,A263)&lt;&gt;1),"ID ausente ou duplicado",IF(OR(NOT(ISNUMBER(B263)),B263&lt;=0),"Data ausente ou inválida",IF(AND(C263&lt;&gt;"Entrada",C263&lt;&gt;"Saída",C263&lt;&gt;"Perda",C263&lt;&gt;"Ajuste positivo",C263&lt;&gt;"Ajuste negativo"),"Tipo de movimento inválido",IF(OR(D263="",COUNTIFS(Lotes!$A$5:$A$204,D263)&lt;&gt;1),"Lote ausente ou desconhecido",IF(COUNTIFS(Lotes!$A$5:$A$204,D263,Lotes!$S$5:$S$204,"?*")&gt;0,"Revisar cadastro do lote",IF(B263&lt;INDEX(Lotes!$E$5:$E$204,MATCH(D263,Lotes!$A$5:$A$204,0)),"Movimento anterior ao recebimento",IF(OR(NOT(ISNUMBER(G263)),G263&lt;=0),"Quantidade ausente ou inválida",""))))))))</x:f>
      </x:c>
      <x:c r="P263" s="163" t="n">
        <x:f>IF(O263="",0,1)</x:f>
        <x:v>0</x:v>
      </x:c>
      <x:c r="Q263" s="163" t="n">
        <x:f>IF(COUNTA(A263:D263,G263,K263:N263)=0,0,IF(OR(Listas!$B$19="Todos",E263=Listas!$B$19,E263="",COUNTIFS(Lotes!$A$5:$A$204,D263)&lt;&gt;1),1,0))</x:f>
        <x:v>0</x:v>
      </x:c>
      <x:c r="R263" s="1"/>
      <x:c r="S263" s="1"/>
      <x:c r="T263" s="1"/>
      <x:c r="U263" s="1"/>
      <x:c r="V263" s="1"/>
      <x:c r="W263" s="1"/>
    </x:row>
    <x:row r="264" ht="32" customHeight="1">
      <x:c r="A264" s="170"/>
      <x:c r="B264" s="179"/>
      <x:c r="C264" s="170"/>
      <x:c r="D264" s="170"/>
      <x:c r="E264" s="40" t="str">
        <x:f>IF($D264="","",IFERROR(INDEX(Lotes!$B$5:$B$204,MATCH($D264,Lotes!$A$5:$A$204,0)),""))</x:f>
      </x:c>
      <x:c r="F264" s="40" t="str">
        <x:f>IF($D264="","",IFERROR(INDEX(Lotes!$C$5:$C$204,MATCH($D264,Lotes!$A$5:$A$204,0)),""))</x:f>
      </x:c>
      <x:c r="G264" s="27"/>
      <x:c r="H264" s="40" t="str">
        <x:f>IF(A264="","",IF(O264&lt;&gt;"","n.a.",IF(OR(C264="Saída",C264="Perda",C264="Ajuste negativo"),-G264,G264)))</x:f>
      </x:c>
      <x:c r="I264" s="181" t="str">
        <x:f>IF($D264="","",IFERROR(INDEX(Lotes!$K$5:$K$204,MATCH($D264,Lotes!$A$5:$A$204,0)),0))</x:f>
      </x:c>
      <x:c r="J264" s="181" t="str">
        <x:f>IF(A264="","",IF(O264&lt;&gt;"","n.a.",ABS(H264)*I264))</x:f>
      </x:c>
      <x:c r="K264" s="27"/>
      <x:c r="L264" s="27"/>
      <x:c r="M264" s="27"/>
      <x:c r="N264" s="27"/>
      <x:c r="O264" s="163" t="str">
        <x:f>IF(COUNTA(A264:D264,G264,K264:N264)=0,"",IF(OR(A264="",COUNTIFS($A$5:$A$304,A264)&lt;&gt;1),"ID ausente ou duplicado",IF(OR(NOT(ISNUMBER(B264)),B264&lt;=0),"Data ausente ou inválida",IF(AND(C264&lt;&gt;"Entrada",C264&lt;&gt;"Saída",C264&lt;&gt;"Perda",C264&lt;&gt;"Ajuste positivo",C264&lt;&gt;"Ajuste negativo"),"Tipo de movimento inválido",IF(OR(D264="",COUNTIFS(Lotes!$A$5:$A$204,D264)&lt;&gt;1),"Lote ausente ou desconhecido",IF(COUNTIFS(Lotes!$A$5:$A$204,D264,Lotes!$S$5:$S$204,"?*")&gt;0,"Revisar cadastro do lote",IF(B264&lt;INDEX(Lotes!$E$5:$E$204,MATCH(D264,Lotes!$A$5:$A$204,0)),"Movimento anterior ao recebimento",IF(OR(NOT(ISNUMBER(G264)),G264&lt;=0),"Quantidade ausente ou inválida",""))))))))</x:f>
      </x:c>
      <x:c r="P264" s="163" t="n">
        <x:f>IF(O264="",0,1)</x:f>
        <x:v>0</x:v>
      </x:c>
      <x:c r="Q264" s="163" t="n">
        <x:f>IF(COUNTA(A264:D264,G264,K264:N264)=0,0,IF(OR(Listas!$B$19="Todos",E264=Listas!$B$19,E264="",COUNTIFS(Lotes!$A$5:$A$204,D264)&lt;&gt;1),1,0))</x:f>
        <x:v>0</x:v>
      </x:c>
      <x:c r="R264" s="1"/>
      <x:c r="S264" s="1"/>
      <x:c r="T264" s="1"/>
      <x:c r="U264" s="1"/>
      <x:c r="V264" s="1"/>
      <x:c r="W264" s="1"/>
    </x:row>
    <x:row r="265" ht="32" customHeight="1">
      <x:c r="A265" s="170"/>
      <x:c r="B265" s="179"/>
      <x:c r="C265" s="170"/>
      <x:c r="D265" s="170"/>
      <x:c r="E265" s="40" t="str">
        <x:f>IF($D265="","",IFERROR(INDEX(Lotes!$B$5:$B$204,MATCH($D265,Lotes!$A$5:$A$204,0)),""))</x:f>
      </x:c>
      <x:c r="F265" s="40" t="str">
        <x:f>IF($D265="","",IFERROR(INDEX(Lotes!$C$5:$C$204,MATCH($D265,Lotes!$A$5:$A$204,0)),""))</x:f>
      </x:c>
      <x:c r="G265" s="27"/>
      <x:c r="H265" s="40" t="str">
        <x:f>IF(A265="","",IF(O265&lt;&gt;"","n.a.",IF(OR(C265="Saída",C265="Perda",C265="Ajuste negativo"),-G265,G265)))</x:f>
      </x:c>
      <x:c r="I265" s="181" t="str">
        <x:f>IF($D265="","",IFERROR(INDEX(Lotes!$K$5:$K$204,MATCH($D265,Lotes!$A$5:$A$204,0)),0))</x:f>
      </x:c>
      <x:c r="J265" s="181" t="str">
        <x:f>IF(A265="","",IF(O265&lt;&gt;"","n.a.",ABS(H265)*I265))</x:f>
      </x:c>
      <x:c r="K265" s="27"/>
      <x:c r="L265" s="27"/>
      <x:c r="M265" s="27"/>
      <x:c r="N265" s="27"/>
      <x:c r="O265" s="163" t="str">
        <x:f>IF(COUNTA(A265:D265,G265,K265:N265)=0,"",IF(OR(A265="",COUNTIFS($A$5:$A$304,A265)&lt;&gt;1),"ID ausente ou duplicado",IF(OR(NOT(ISNUMBER(B265)),B265&lt;=0),"Data ausente ou inválida",IF(AND(C265&lt;&gt;"Entrada",C265&lt;&gt;"Saída",C265&lt;&gt;"Perda",C265&lt;&gt;"Ajuste positivo",C265&lt;&gt;"Ajuste negativo"),"Tipo de movimento inválido",IF(OR(D265="",COUNTIFS(Lotes!$A$5:$A$204,D265)&lt;&gt;1),"Lote ausente ou desconhecido",IF(COUNTIFS(Lotes!$A$5:$A$204,D265,Lotes!$S$5:$S$204,"?*")&gt;0,"Revisar cadastro do lote",IF(B265&lt;INDEX(Lotes!$E$5:$E$204,MATCH(D265,Lotes!$A$5:$A$204,0)),"Movimento anterior ao recebimento",IF(OR(NOT(ISNUMBER(G265)),G265&lt;=0),"Quantidade ausente ou inválida",""))))))))</x:f>
      </x:c>
      <x:c r="P265" s="163" t="n">
        <x:f>IF(O265="",0,1)</x:f>
        <x:v>0</x:v>
      </x:c>
      <x:c r="Q265" s="163" t="n">
        <x:f>IF(COUNTA(A265:D265,G265,K265:N265)=0,0,IF(OR(Listas!$B$19="Todos",E265=Listas!$B$19,E265="",COUNTIFS(Lotes!$A$5:$A$204,D265)&lt;&gt;1),1,0))</x:f>
        <x:v>0</x:v>
      </x:c>
      <x:c r="R265" s="1"/>
      <x:c r="S265" s="1"/>
      <x:c r="T265" s="1"/>
      <x:c r="U265" s="1"/>
      <x:c r="V265" s="1"/>
      <x:c r="W265" s="1"/>
    </x:row>
    <x:row r="266" ht="32" customHeight="1">
      <x:c r="A266" s="170"/>
      <x:c r="B266" s="179"/>
      <x:c r="C266" s="170"/>
      <x:c r="D266" s="170"/>
      <x:c r="E266" s="40" t="str">
        <x:f>IF($D266="","",IFERROR(INDEX(Lotes!$B$5:$B$204,MATCH($D266,Lotes!$A$5:$A$204,0)),""))</x:f>
      </x:c>
      <x:c r="F266" s="40" t="str">
        <x:f>IF($D266="","",IFERROR(INDEX(Lotes!$C$5:$C$204,MATCH($D266,Lotes!$A$5:$A$204,0)),""))</x:f>
      </x:c>
      <x:c r="G266" s="27"/>
      <x:c r="H266" s="40" t="str">
        <x:f>IF(A266="","",IF(O266&lt;&gt;"","n.a.",IF(OR(C266="Saída",C266="Perda",C266="Ajuste negativo"),-G266,G266)))</x:f>
      </x:c>
      <x:c r="I266" s="181" t="str">
        <x:f>IF($D266="","",IFERROR(INDEX(Lotes!$K$5:$K$204,MATCH($D266,Lotes!$A$5:$A$204,0)),0))</x:f>
      </x:c>
      <x:c r="J266" s="181" t="str">
        <x:f>IF(A266="","",IF(O266&lt;&gt;"","n.a.",ABS(H266)*I266))</x:f>
      </x:c>
      <x:c r="K266" s="27"/>
      <x:c r="L266" s="27"/>
      <x:c r="M266" s="27"/>
      <x:c r="N266" s="27"/>
      <x:c r="O266" s="163" t="str">
        <x:f>IF(COUNTA(A266:D266,G266,K266:N266)=0,"",IF(OR(A266="",COUNTIFS($A$5:$A$304,A266)&lt;&gt;1),"ID ausente ou duplicado",IF(OR(NOT(ISNUMBER(B266)),B266&lt;=0),"Data ausente ou inválida",IF(AND(C266&lt;&gt;"Entrada",C266&lt;&gt;"Saída",C266&lt;&gt;"Perda",C266&lt;&gt;"Ajuste positivo",C266&lt;&gt;"Ajuste negativo"),"Tipo de movimento inválido",IF(OR(D266="",COUNTIFS(Lotes!$A$5:$A$204,D266)&lt;&gt;1),"Lote ausente ou desconhecido",IF(COUNTIFS(Lotes!$A$5:$A$204,D266,Lotes!$S$5:$S$204,"?*")&gt;0,"Revisar cadastro do lote",IF(B266&lt;INDEX(Lotes!$E$5:$E$204,MATCH(D266,Lotes!$A$5:$A$204,0)),"Movimento anterior ao recebimento",IF(OR(NOT(ISNUMBER(G266)),G266&lt;=0),"Quantidade ausente ou inválida",""))))))))</x:f>
      </x:c>
      <x:c r="P266" s="163" t="n">
        <x:f>IF(O266="",0,1)</x:f>
        <x:v>0</x:v>
      </x:c>
      <x:c r="Q266" s="163" t="n">
        <x:f>IF(COUNTA(A266:D266,G266,K266:N266)=0,0,IF(OR(Listas!$B$19="Todos",E266=Listas!$B$19,E266="",COUNTIFS(Lotes!$A$5:$A$204,D266)&lt;&gt;1),1,0))</x:f>
        <x:v>0</x:v>
      </x:c>
      <x:c r="R266" s="1"/>
      <x:c r="S266" s="1"/>
      <x:c r="T266" s="1"/>
      <x:c r="U266" s="1"/>
      <x:c r="V266" s="1"/>
      <x:c r="W266" s="1"/>
    </x:row>
    <x:row r="267" ht="32" customHeight="1">
      <x:c r="A267" s="170"/>
      <x:c r="B267" s="179"/>
      <x:c r="C267" s="170"/>
      <x:c r="D267" s="170"/>
      <x:c r="E267" s="40" t="str">
        <x:f>IF($D267="","",IFERROR(INDEX(Lotes!$B$5:$B$204,MATCH($D267,Lotes!$A$5:$A$204,0)),""))</x:f>
      </x:c>
      <x:c r="F267" s="40" t="str">
        <x:f>IF($D267="","",IFERROR(INDEX(Lotes!$C$5:$C$204,MATCH($D267,Lotes!$A$5:$A$204,0)),""))</x:f>
      </x:c>
      <x:c r="G267" s="27"/>
      <x:c r="H267" s="40" t="str">
        <x:f>IF(A267="","",IF(O267&lt;&gt;"","n.a.",IF(OR(C267="Saída",C267="Perda",C267="Ajuste negativo"),-G267,G267)))</x:f>
      </x:c>
      <x:c r="I267" s="181" t="str">
        <x:f>IF($D267="","",IFERROR(INDEX(Lotes!$K$5:$K$204,MATCH($D267,Lotes!$A$5:$A$204,0)),0))</x:f>
      </x:c>
      <x:c r="J267" s="181" t="str">
        <x:f>IF(A267="","",IF(O267&lt;&gt;"","n.a.",ABS(H267)*I267))</x:f>
      </x:c>
      <x:c r="K267" s="27"/>
      <x:c r="L267" s="27"/>
      <x:c r="M267" s="27"/>
      <x:c r="N267" s="27"/>
      <x:c r="O267" s="163" t="str">
        <x:f>IF(COUNTA(A267:D267,G267,K267:N267)=0,"",IF(OR(A267="",COUNTIFS($A$5:$A$304,A267)&lt;&gt;1),"ID ausente ou duplicado",IF(OR(NOT(ISNUMBER(B267)),B267&lt;=0),"Data ausente ou inválida",IF(AND(C267&lt;&gt;"Entrada",C267&lt;&gt;"Saída",C267&lt;&gt;"Perda",C267&lt;&gt;"Ajuste positivo",C267&lt;&gt;"Ajuste negativo"),"Tipo de movimento inválido",IF(OR(D267="",COUNTIFS(Lotes!$A$5:$A$204,D267)&lt;&gt;1),"Lote ausente ou desconhecido",IF(COUNTIFS(Lotes!$A$5:$A$204,D267,Lotes!$S$5:$S$204,"?*")&gt;0,"Revisar cadastro do lote",IF(B267&lt;INDEX(Lotes!$E$5:$E$204,MATCH(D267,Lotes!$A$5:$A$204,0)),"Movimento anterior ao recebimento",IF(OR(NOT(ISNUMBER(G267)),G267&lt;=0),"Quantidade ausente ou inválida",""))))))))</x:f>
      </x:c>
      <x:c r="P267" s="163" t="n">
        <x:f>IF(O267="",0,1)</x:f>
        <x:v>0</x:v>
      </x:c>
      <x:c r="Q267" s="163" t="n">
        <x:f>IF(COUNTA(A267:D267,G267,K267:N267)=0,0,IF(OR(Listas!$B$19="Todos",E267=Listas!$B$19,E267="",COUNTIFS(Lotes!$A$5:$A$204,D267)&lt;&gt;1),1,0))</x:f>
        <x:v>0</x:v>
      </x:c>
      <x:c r="R267" s="1"/>
      <x:c r="S267" s="1"/>
      <x:c r="T267" s="1"/>
      <x:c r="U267" s="1"/>
      <x:c r="V267" s="1"/>
      <x:c r="W267" s="1"/>
    </x:row>
    <x:row r="268" ht="32" customHeight="1">
      <x:c r="A268" s="170"/>
      <x:c r="B268" s="179"/>
      <x:c r="C268" s="170"/>
      <x:c r="D268" s="170"/>
      <x:c r="E268" s="40" t="str">
        <x:f>IF($D268="","",IFERROR(INDEX(Lotes!$B$5:$B$204,MATCH($D268,Lotes!$A$5:$A$204,0)),""))</x:f>
      </x:c>
      <x:c r="F268" s="40" t="str">
        <x:f>IF($D268="","",IFERROR(INDEX(Lotes!$C$5:$C$204,MATCH($D268,Lotes!$A$5:$A$204,0)),""))</x:f>
      </x:c>
      <x:c r="G268" s="27"/>
      <x:c r="H268" s="40" t="str">
        <x:f>IF(A268="","",IF(O268&lt;&gt;"","n.a.",IF(OR(C268="Saída",C268="Perda",C268="Ajuste negativo"),-G268,G268)))</x:f>
      </x:c>
      <x:c r="I268" s="181" t="str">
        <x:f>IF($D268="","",IFERROR(INDEX(Lotes!$K$5:$K$204,MATCH($D268,Lotes!$A$5:$A$204,0)),0))</x:f>
      </x:c>
      <x:c r="J268" s="181" t="str">
        <x:f>IF(A268="","",IF(O268&lt;&gt;"","n.a.",ABS(H268)*I268))</x:f>
      </x:c>
      <x:c r="K268" s="27"/>
      <x:c r="L268" s="27"/>
      <x:c r="M268" s="27"/>
      <x:c r="N268" s="27"/>
      <x:c r="O268" s="163" t="str">
        <x:f>IF(COUNTA(A268:D268,G268,K268:N268)=0,"",IF(OR(A268="",COUNTIFS($A$5:$A$304,A268)&lt;&gt;1),"ID ausente ou duplicado",IF(OR(NOT(ISNUMBER(B268)),B268&lt;=0),"Data ausente ou inválida",IF(AND(C268&lt;&gt;"Entrada",C268&lt;&gt;"Saída",C268&lt;&gt;"Perda",C268&lt;&gt;"Ajuste positivo",C268&lt;&gt;"Ajuste negativo"),"Tipo de movimento inválido",IF(OR(D268="",COUNTIFS(Lotes!$A$5:$A$204,D268)&lt;&gt;1),"Lote ausente ou desconhecido",IF(COUNTIFS(Lotes!$A$5:$A$204,D268,Lotes!$S$5:$S$204,"?*")&gt;0,"Revisar cadastro do lote",IF(B268&lt;INDEX(Lotes!$E$5:$E$204,MATCH(D268,Lotes!$A$5:$A$204,0)),"Movimento anterior ao recebimento",IF(OR(NOT(ISNUMBER(G268)),G268&lt;=0),"Quantidade ausente ou inválida",""))))))))</x:f>
      </x:c>
      <x:c r="P268" s="163" t="n">
        <x:f>IF(O268="",0,1)</x:f>
        <x:v>0</x:v>
      </x:c>
      <x:c r="Q268" s="163" t="n">
        <x:f>IF(COUNTA(A268:D268,G268,K268:N268)=0,0,IF(OR(Listas!$B$19="Todos",E268=Listas!$B$19,E268="",COUNTIFS(Lotes!$A$5:$A$204,D268)&lt;&gt;1),1,0))</x:f>
        <x:v>0</x:v>
      </x:c>
      <x:c r="R268" s="1"/>
      <x:c r="S268" s="1"/>
      <x:c r="T268" s="1"/>
      <x:c r="U268" s="1"/>
      <x:c r="V268" s="1"/>
      <x:c r="W268" s="1"/>
    </x:row>
    <x:row r="269" ht="32" customHeight="1">
      <x:c r="A269" s="170"/>
      <x:c r="B269" s="179"/>
      <x:c r="C269" s="170"/>
      <x:c r="D269" s="170"/>
      <x:c r="E269" s="40" t="str">
        <x:f>IF($D269="","",IFERROR(INDEX(Lotes!$B$5:$B$204,MATCH($D269,Lotes!$A$5:$A$204,0)),""))</x:f>
      </x:c>
      <x:c r="F269" s="40" t="str">
        <x:f>IF($D269="","",IFERROR(INDEX(Lotes!$C$5:$C$204,MATCH($D269,Lotes!$A$5:$A$204,0)),""))</x:f>
      </x:c>
      <x:c r="G269" s="27"/>
      <x:c r="H269" s="40" t="str">
        <x:f>IF(A269="","",IF(O269&lt;&gt;"","n.a.",IF(OR(C269="Saída",C269="Perda",C269="Ajuste negativo"),-G269,G269)))</x:f>
      </x:c>
      <x:c r="I269" s="181" t="str">
        <x:f>IF($D269="","",IFERROR(INDEX(Lotes!$K$5:$K$204,MATCH($D269,Lotes!$A$5:$A$204,0)),0))</x:f>
      </x:c>
      <x:c r="J269" s="181" t="str">
        <x:f>IF(A269="","",IF(O269&lt;&gt;"","n.a.",ABS(H269)*I269))</x:f>
      </x:c>
      <x:c r="K269" s="27"/>
      <x:c r="L269" s="27"/>
      <x:c r="M269" s="27"/>
      <x:c r="N269" s="27"/>
      <x:c r="O269" s="163" t="str">
        <x:f>IF(COUNTA(A269:D269,G269,K269:N269)=0,"",IF(OR(A269="",COUNTIFS($A$5:$A$304,A269)&lt;&gt;1),"ID ausente ou duplicado",IF(OR(NOT(ISNUMBER(B269)),B269&lt;=0),"Data ausente ou inválida",IF(AND(C269&lt;&gt;"Entrada",C269&lt;&gt;"Saída",C269&lt;&gt;"Perda",C269&lt;&gt;"Ajuste positivo",C269&lt;&gt;"Ajuste negativo"),"Tipo de movimento inválido",IF(OR(D269="",COUNTIFS(Lotes!$A$5:$A$204,D269)&lt;&gt;1),"Lote ausente ou desconhecido",IF(COUNTIFS(Lotes!$A$5:$A$204,D269,Lotes!$S$5:$S$204,"?*")&gt;0,"Revisar cadastro do lote",IF(B269&lt;INDEX(Lotes!$E$5:$E$204,MATCH(D269,Lotes!$A$5:$A$204,0)),"Movimento anterior ao recebimento",IF(OR(NOT(ISNUMBER(G269)),G269&lt;=0),"Quantidade ausente ou inválida",""))))))))</x:f>
      </x:c>
      <x:c r="P269" s="163" t="n">
        <x:f>IF(O269="",0,1)</x:f>
        <x:v>0</x:v>
      </x:c>
      <x:c r="Q269" s="163" t="n">
        <x:f>IF(COUNTA(A269:D269,G269,K269:N269)=0,0,IF(OR(Listas!$B$19="Todos",E269=Listas!$B$19,E269="",COUNTIFS(Lotes!$A$5:$A$204,D269)&lt;&gt;1),1,0))</x:f>
        <x:v>0</x:v>
      </x:c>
      <x:c r="R269" s="1"/>
      <x:c r="S269" s="1"/>
      <x:c r="T269" s="1"/>
      <x:c r="U269" s="1"/>
      <x:c r="V269" s="1"/>
      <x:c r="W269" s="1"/>
    </x:row>
    <x:row r="270" ht="32" customHeight="1">
      <x:c r="A270" s="170"/>
      <x:c r="B270" s="179"/>
      <x:c r="C270" s="170"/>
      <x:c r="D270" s="170"/>
      <x:c r="E270" s="40" t="str">
        <x:f>IF($D270="","",IFERROR(INDEX(Lotes!$B$5:$B$204,MATCH($D270,Lotes!$A$5:$A$204,0)),""))</x:f>
      </x:c>
      <x:c r="F270" s="40" t="str">
        <x:f>IF($D270="","",IFERROR(INDEX(Lotes!$C$5:$C$204,MATCH($D270,Lotes!$A$5:$A$204,0)),""))</x:f>
      </x:c>
      <x:c r="G270" s="27"/>
      <x:c r="H270" s="40" t="str">
        <x:f>IF(A270="","",IF(O270&lt;&gt;"","n.a.",IF(OR(C270="Saída",C270="Perda",C270="Ajuste negativo"),-G270,G270)))</x:f>
      </x:c>
      <x:c r="I270" s="181" t="str">
        <x:f>IF($D270="","",IFERROR(INDEX(Lotes!$K$5:$K$204,MATCH($D270,Lotes!$A$5:$A$204,0)),0))</x:f>
      </x:c>
      <x:c r="J270" s="181" t="str">
        <x:f>IF(A270="","",IF(O270&lt;&gt;"","n.a.",ABS(H270)*I270))</x:f>
      </x:c>
      <x:c r="K270" s="27"/>
      <x:c r="L270" s="27"/>
      <x:c r="M270" s="27"/>
      <x:c r="N270" s="27"/>
      <x:c r="O270" s="163" t="str">
        <x:f>IF(COUNTA(A270:D270,G270,K270:N270)=0,"",IF(OR(A270="",COUNTIFS($A$5:$A$304,A270)&lt;&gt;1),"ID ausente ou duplicado",IF(OR(NOT(ISNUMBER(B270)),B270&lt;=0),"Data ausente ou inválida",IF(AND(C270&lt;&gt;"Entrada",C270&lt;&gt;"Saída",C270&lt;&gt;"Perda",C270&lt;&gt;"Ajuste positivo",C270&lt;&gt;"Ajuste negativo"),"Tipo de movimento inválido",IF(OR(D270="",COUNTIFS(Lotes!$A$5:$A$204,D270)&lt;&gt;1),"Lote ausente ou desconhecido",IF(COUNTIFS(Lotes!$A$5:$A$204,D270,Lotes!$S$5:$S$204,"?*")&gt;0,"Revisar cadastro do lote",IF(B270&lt;INDEX(Lotes!$E$5:$E$204,MATCH(D270,Lotes!$A$5:$A$204,0)),"Movimento anterior ao recebimento",IF(OR(NOT(ISNUMBER(G270)),G270&lt;=0),"Quantidade ausente ou inválida",""))))))))</x:f>
      </x:c>
      <x:c r="P270" s="163" t="n">
        <x:f>IF(O270="",0,1)</x:f>
        <x:v>0</x:v>
      </x:c>
      <x:c r="Q270" s="163" t="n">
        <x:f>IF(COUNTA(A270:D270,G270,K270:N270)=0,0,IF(OR(Listas!$B$19="Todos",E270=Listas!$B$19,E270="",COUNTIFS(Lotes!$A$5:$A$204,D270)&lt;&gt;1),1,0))</x:f>
        <x:v>0</x:v>
      </x:c>
      <x:c r="R270" s="1"/>
      <x:c r="S270" s="1"/>
      <x:c r="T270" s="1"/>
      <x:c r="U270" s="1"/>
      <x:c r="V270" s="1"/>
      <x:c r="W270" s="1"/>
    </x:row>
    <x:row r="271" ht="32" customHeight="1">
      <x:c r="A271" s="170"/>
      <x:c r="B271" s="179"/>
      <x:c r="C271" s="170"/>
      <x:c r="D271" s="170"/>
      <x:c r="E271" s="40" t="str">
        <x:f>IF($D271="","",IFERROR(INDEX(Lotes!$B$5:$B$204,MATCH($D271,Lotes!$A$5:$A$204,0)),""))</x:f>
      </x:c>
      <x:c r="F271" s="40" t="str">
        <x:f>IF($D271="","",IFERROR(INDEX(Lotes!$C$5:$C$204,MATCH($D271,Lotes!$A$5:$A$204,0)),""))</x:f>
      </x:c>
      <x:c r="G271" s="27"/>
      <x:c r="H271" s="40" t="str">
        <x:f>IF(A271="","",IF(O271&lt;&gt;"","n.a.",IF(OR(C271="Saída",C271="Perda",C271="Ajuste negativo"),-G271,G271)))</x:f>
      </x:c>
      <x:c r="I271" s="181" t="str">
        <x:f>IF($D271="","",IFERROR(INDEX(Lotes!$K$5:$K$204,MATCH($D271,Lotes!$A$5:$A$204,0)),0))</x:f>
      </x:c>
      <x:c r="J271" s="181" t="str">
        <x:f>IF(A271="","",IF(O271&lt;&gt;"","n.a.",ABS(H271)*I271))</x:f>
      </x:c>
      <x:c r="K271" s="27"/>
      <x:c r="L271" s="27"/>
      <x:c r="M271" s="27"/>
      <x:c r="N271" s="27"/>
      <x:c r="O271" s="163" t="str">
        <x:f>IF(COUNTA(A271:D271,G271,K271:N271)=0,"",IF(OR(A271="",COUNTIFS($A$5:$A$304,A271)&lt;&gt;1),"ID ausente ou duplicado",IF(OR(NOT(ISNUMBER(B271)),B271&lt;=0),"Data ausente ou inválida",IF(AND(C271&lt;&gt;"Entrada",C271&lt;&gt;"Saída",C271&lt;&gt;"Perda",C271&lt;&gt;"Ajuste positivo",C271&lt;&gt;"Ajuste negativo"),"Tipo de movimento inválido",IF(OR(D271="",COUNTIFS(Lotes!$A$5:$A$204,D271)&lt;&gt;1),"Lote ausente ou desconhecido",IF(COUNTIFS(Lotes!$A$5:$A$204,D271,Lotes!$S$5:$S$204,"?*")&gt;0,"Revisar cadastro do lote",IF(B271&lt;INDEX(Lotes!$E$5:$E$204,MATCH(D271,Lotes!$A$5:$A$204,0)),"Movimento anterior ao recebimento",IF(OR(NOT(ISNUMBER(G271)),G271&lt;=0),"Quantidade ausente ou inválida",""))))))))</x:f>
      </x:c>
      <x:c r="P271" s="163" t="n">
        <x:f>IF(O271="",0,1)</x:f>
        <x:v>0</x:v>
      </x:c>
      <x:c r="Q271" s="163" t="n">
        <x:f>IF(COUNTA(A271:D271,G271,K271:N271)=0,0,IF(OR(Listas!$B$19="Todos",E271=Listas!$B$19,E271="",COUNTIFS(Lotes!$A$5:$A$204,D271)&lt;&gt;1),1,0))</x:f>
        <x:v>0</x:v>
      </x:c>
      <x:c r="R271" s="1"/>
      <x:c r="S271" s="1"/>
      <x:c r="T271" s="1"/>
      <x:c r="U271" s="1"/>
      <x:c r="V271" s="1"/>
      <x:c r="W271" s="1"/>
    </x:row>
    <x:row r="272" ht="32" customHeight="1">
      <x:c r="A272" s="170"/>
      <x:c r="B272" s="179"/>
      <x:c r="C272" s="170"/>
      <x:c r="D272" s="170"/>
      <x:c r="E272" s="40" t="str">
        <x:f>IF($D272="","",IFERROR(INDEX(Lotes!$B$5:$B$204,MATCH($D272,Lotes!$A$5:$A$204,0)),""))</x:f>
      </x:c>
      <x:c r="F272" s="40" t="str">
        <x:f>IF($D272="","",IFERROR(INDEX(Lotes!$C$5:$C$204,MATCH($D272,Lotes!$A$5:$A$204,0)),""))</x:f>
      </x:c>
      <x:c r="G272" s="27"/>
      <x:c r="H272" s="40" t="str">
        <x:f>IF(A272="","",IF(O272&lt;&gt;"","n.a.",IF(OR(C272="Saída",C272="Perda",C272="Ajuste negativo"),-G272,G272)))</x:f>
      </x:c>
      <x:c r="I272" s="181" t="str">
        <x:f>IF($D272="","",IFERROR(INDEX(Lotes!$K$5:$K$204,MATCH($D272,Lotes!$A$5:$A$204,0)),0))</x:f>
      </x:c>
      <x:c r="J272" s="181" t="str">
        <x:f>IF(A272="","",IF(O272&lt;&gt;"","n.a.",ABS(H272)*I272))</x:f>
      </x:c>
      <x:c r="K272" s="27"/>
      <x:c r="L272" s="27"/>
      <x:c r="M272" s="27"/>
      <x:c r="N272" s="27"/>
      <x:c r="O272" s="163" t="str">
        <x:f>IF(COUNTA(A272:D272,G272,K272:N272)=0,"",IF(OR(A272="",COUNTIFS($A$5:$A$304,A272)&lt;&gt;1),"ID ausente ou duplicado",IF(OR(NOT(ISNUMBER(B272)),B272&lt;=0),"Data ausente ou inválida",IF(AND(C272&lt;&gt;"Entrada",C272&lt;&gt;"Saída",C272&lt;&gt;"Perda",C272&lt;&gt;"Ajuste positivo",C272&lt;&gt;"Ajuste negativo"),"Tipo de movimento inválido",IF(OR(D272="",COUNTIFS(Lotes!$A$5:$A$204,D272)&lt;&gt;1),"Lote ausente ou desconhecido",IF(COUNTIFS(Lotes!$A$5:$A$204,D272,Lotes!$S$5:$S$204,"?*")&gt;0,"Revisar cadastro do lote",IF(B272&lt;INDEX(Lotes!$E$5:$E$204,MATCH(D272,Lotes!$A$5:$A$204,0)),"Movimento anterior ao recebimento",IF(OR(NOT(ISNUMBER(G272)),G272&lt;=0),"Quantidade ausente ou inválida",""))))))))</x:f>
      </x:c>
      <x:c r="P272" s="163" t="n">
        <x:f>IF(O272="",0,1)</x:f>
        <x:v>0</x:v>
      </x:c>
      <x:c r="Q272" s="163" t="n">
        <x:f>IF(COUNTA(A272:D272,G272,K272:N272)=0,0,IF(OR(Listas!$B$19="Todos",E272=Listas!$B$19,E272="",COUNTIFS(Lotes!$A$5:$A$204,D272)&lt;&gt;1),1,0))</x:f>
        <x:v>0</x:v>
      </x:c>
      <x:c r="R272" s="1"/>
      <x:c r="S272" s="1"/>
      <x:c r="T272" s="1"/>
      <x:c r="U272" s="1"/>
      <x:c r="V272" s="1"/>
      <x:c r="W272" s="1"/>
    </x:row>
    <x:row r="273" ht="32" customHeight="1">
      <x:c r="A273" s="170"/>
      <x:c r="B273" s="179"/>
      <x:c r="C273" s="170"/>
      <x:c r="D273" s="170"/>
      <x:c r="E273" s="40" t="str">
        <x:f>IF($D273="","",IFERROR(INDEX(Lotes!$B$5:$B$204,MATCH($D273,Lotes!$A$5:$A$204,0)),""))</x:f>
      </x:c>
      <x:c r="F273" s="40" t="str">
        <x:f>IF($D273="","",IFERROR(INDEX(Lotes!$C$5:$C$204,MATCH($D273,Lotes!$A$5:$A$204,0)),""))</x:f>
      </x:c>
      <x:c r="G273" s="27"/>
      <x:c r="H273" s="40" t="str">
        <x:f>IF(A273="","",IF(O273&lt;&gt;"","n.a.",IF(OR(C273="Saída",C273="Perda",C273="Ajuste negativo"),-G273,G273)))</x:f>
      </x:c>
      <x:c r="I273" s="181" t="str">
        <x:f>IF($D273="","",IFERROR(INDEX(Lotes!$K$5:$K$204,MATCH($D273,Lotes!$A$5:$A$204,0)),0))</x:f>
      </x:c>
      <x:c r="J273" s="181" t="str">
        <x:f>IF(A273="","",IF(O273&lt;&gt;"","n.a.",ABS(H273)*I273))</x:f>
      </x:c>
      <x:c r="K273" s="27"/>
      <x:c r="L273" s="27"/>
      <x:c r="M273" s="27"/>
      <x:c r="N273" s="27"/>
      <x:c r="O273" s="163" t="str">
        <x:f>IF(COUNTA(A273:D273,G273,K273:N273)=0,"",IF(OR(A273="",COUNTIFS($A$5:$A$304,A273)&lt;&gt;1),"ID ausente ou duplicado",IF(OR(NOT(ISNUMBER(B273)),B273&lt;=0),"Data ausente ou inválida",IF(AND(C273&lt;&gt;"Entrada",C273&lt;&gt;"Saída",C273&lt;&gt;"Perda",C273&lt;&gt;"Ajuste positivo",C273&lt;&gt;"Ajuste negativo"),"Tipo de movimento inválido",IF(OR(D273="",COUNTIFS(Lotes!$A$5:$A$204,D273)&lt;&gt;1),"Lote ausente ou desconhecido",IF(COUNTIFS(Lotes!$A$5:$A$204,D273,Lotes!$S$5:$S$204,"?*")&gt;0,"Revisar cadastro do lote",IF(B273&lt;INDEX(Lotes!$E$5:$E$204,MATCH(D273,Lotes!$A$5:$A$204,0)),"Movimento anterior ao recebimento",IF(OR(NOT(ISNUMBER(G273)),G273&lt;=0),"Quantidade ausente ou inválida",""))))))))</x:f>
      </x:c>
      <x:c r="P273" s="163" t="n">
        <x:f>IF(O273="",0,1)</x:f>
        <x:v>0</x:v>
      </x:c>
      <x:c r="Q273" s="163" t="n">
        <x:f>IF(COUNTA(A273:D273,G273,K273:N273)=0,0,IF(OR(Listas!$B$19="Todos",E273=Listas!$B$19,E273="",COUNTIFS(Lotes!$A$5:$A$204,D273)&lt;&gt;1),1,0))</x:f>
        <x:v>0</x:v>
      </x:c>
      <x:c r="R273" s="1"/>
      <x:c r="S273" s="1"/>
      <x:c r="T273" s="1"/>
      <x:c r="U273" s="1"/>
      <x:c r="V273" s="1"/>
      <x:c r="W273" s="1"/>
    </x:row>
    <x:row r="274" ht="32" customHeight="1">
      <x:c r="A274" s="170"/>
      <x:c r="B274" s="179"/>
      <x:c r="C274" s="170"/>
      <x:c r="D274" s="170"/>
      <x:c r="E274" s="40" t="str">
        <x:f>IF($D274="","",IFERROR(INDEX(Lotes!$B$5:$B$204,MATCH($D274,Lotes!$A$5:$A$204,0)),""))</x:f>
      </x:c>
      <x:c r="F274" s="40" t="str">
        <x:f>IF($D274="","",IFERROR(INDEX(Lotes!$C$5:$C$204,MATCH($D274,Lotes!$A$5:$A$204,0)),""))</x:f>
      </x:c>
      <x:c r="G274" s="27"/>
      <x:c r="H274" s="40" t="str">
        <x:f>IF(A274="","",IF(O274&lt;&gt;"","n.a.",IF(OR(C274="Saída",C274="Perda",C274="Ajuste negativo"),-G274,G274)))</x:f>
      </x:c>
      <x:c r="I274" s="181" t="str">
        <x:f>IF($D274="","",IFERROR(INDEX(Lotes!$K$5:$K$204,MATCH($D274,Lotes!$A$5:$A$204,0)),0))</x:f>
      </x:c>
      <x:c r="J274" s="181" t="str">
        <x:f>IF(A274="","",IF(O274&lt;&gt;"","n.a.",ABS(H274)*I274))</x:f>
      </x:c>
      <x:c r="K274" s="27"/>
      <x:c r="L274" s="27"/>
      <x:c r="M274" s="27"/>
      <x:c r="N274" s="27"/>
      <x:c r="O274" s="163" t="str">
        <x:f>IF(COUNTA(A274:D274,G274,K274:N274)=0,"",IF(OR(A274="",COUNTIFS($A$5:$A$304,A274)&lt;&gt;1),"ID ausente ou duplicado",IF(OR(NOT(ISNUMBER(B274)),B274&lt;=0),"Data ausente ou inválida",IF(AND(C274&lt;&gt;"Entrada",C274&lt;&gt;"Saída",C274&lt;&gt;"Perda",C274&lt;&gt;"Ajuste positivo",C274&lt;&gt;"Ajuste negativo"),"Tipo de movimento inválido",IF(OR(D274="",COUNTIFS(Lotes!$A$5:$A$204,D274)&lt;&gt;1),"Lote ausente ou desconhecido",IF(COUNTIFS(Lotes!$A$5:$A$204,D274,Lotes!$S$5:$S$204,"?*")&gt;0,"Revisar cadastro do lote",IF(B274&lt;INDEX(Lotes!$E$5:$E$204,MATCH(D274,Lotes!$A$5:$A$204,0)),"Movimento anterior ao recebimento",IF(OR(NOT(ISNUMBER(G274)),G274&lt;=0),"Quantidade ausente ou inválida",""))))))))</x:f>
      </x:c>
      <x:c r="P274" s="163" t="n">
        <x:f>IF(O274="",0,1)</x:f>
        <x:v>0</x:v>
      </x:c>
      <x:c r="Q274" s="163" t="n">
        <x:f>IF(COUNTA(A274:D274,G274,K274:N274)=0,0,IF(OR(Listas!$B$19="Todos",E274=Listas!$B$19,E274="",COUNTIFS(Lotes!$A$5:$A$204,D274)&lt;&gt;1),1,0))</x:f>
        <x:v>0</x:v>
      </x:c>
      <x:c r="R274" s="1"/>
      <x:c r="S274" s="1"/>
      <x:c r="T274" s="1"/>
      <x:c r="U274" s="1"/>
      <x:c r="V274" s="1"/>
      <x:c r="W274" s="1"/>
    </x:row>
    <x:row r="275" ht="32" customHeight="1">
      <x:c r="A275" s="170"/>
      <x:c r="B275" s="179"/>
      <x:c r="C275" s="170"/>
      <x:c r="D275" s="170"/>
      <x:c r="E275" s="40" t="str">
        <x:f>IF($D275="","",IFERROR(INDEX(Lotes!$B$5:$B$204,MATCH($D275,Lotes!$A$5:$A$204,0)),""))</x:f>
      </x:c>
      <x:c r="F275" s="40" t="str">
        <x:f>IF($D275="","",IFERROR(INDEX(Lotes!$C$5:$C$204,MATCH($D275,Lotes!$A$5:$A$204,0)),""))</x:f>
      </x:c>
      <x:c r="G275" s="27"/>
      <x:c r="H275" s="40" t="str">
        <x:f>IF(A275="","",IF(O275&lt;&gt;"","n.a.",IF(OR(C275="Saída",C275="Perda",C275="Ajuste negativo"),-G275,G275)))</x:f>
      </x:c>
      <x:c r="I275" s="181" t="str">
        <x:f>IF($D275="","",IFERROR(INDEX(Lotes!$K$5:$K$204,MATCH($D275,Lotes!$A$5:$A$204,0)),0))</x:f>
      </x:c>
      <x:c r="J275" s="181" t="str">
        <x:f>IF(A275="","",IF(O275&lt;&gt;"","n.a.",ABS(H275)*I275))</x:f>
      </x:c>
      <x:c r="K275" s="27"/>
      <x:c r="L275" s="27"/>
      <x:c r="M275" s="27"/>
      <x:c r="N275" s="27"/>
      <x:c r="O275" s="163" t="str">
        <x:f>IF(COUNTA(A275:D275,G275,K275:N275)=0,"",IF(OR(A275="",COUNTIFS($A$5:$A$304,A275)&lt;&gt;1),"ID ausente ou duplicado",IF(OR(NOT(ISNUMBER(B275)),B275&lt;=0),"Data ausente ou inválida",IF(AND(C275&lt;&gt;"Entrada",C275&lt;&gt;"Saída",C275&lt;&gt;"Perda",C275&lt;&gt;"Ajuste positivo",C275&lt;&gt;"Ajuste negativo"),"Tipo de movimento inválido",IF(OR(D275="",COUNTIFS(Lotes!$A$5:$A$204,D275)&lt;&gt;1),"Lote ausente ou desconhecido",IF(COUNTIFS(Lotes!$A$5:$A$204,D275,Lotes!$S$5:$S$204,"?*")&gt;0,"Revisar cadastro do lote",IF(B275&lt;INDEX(Lotes!$E$5:$E$204,MATCH(D275,Lotes!$A$5:$A$204,0)),"Movimento anterior ao recebimento",IF(OR(NOT(ISNUMBER(G275)),G275&lt;=0),"Quantidade ausente ou inválida",""))))))))</x:f>
      </x:c>
      <x:c r="P275" s="163" t="n">
        <x:f>IF(O275="",0,1)</x:f>
        <x:v>0</x:v>
      </x:c>
      <x:c r="Q275" s="163" t="n">
        <x:f>IF(COUNTA(A275:D275,G275,K275:N275)=0,0,IF(OR(Listas!$B$19="Todos",E275=Listas!$B$19,E275="",COUNTIFS(Lotes!$A$5:$A$204,D275)&lt;&gt;1),1,0))</x:f>
        <x:v>0</x:v>
      </x:c>
      <x:c r="R275" s="1"/>
      <x:c r="S275" s="1"/>
      <x:c r="T275" s="1"/>
      <x:c r="U275" s="1"/>
      <x:c r="V275" s="1"/>
      <x:c r="W275" s="1"/>
    </x:row>
    <x:row r="276" ht="32" customHeight="1">
      <x:c r="A276" s="170"/>
      <x:c r="B276" s="179"/>
      <x:c r="C276" s="170"/>
      <x:c r="D276" s="170"/>
      <x:c r="E276" s="40" t="str">
        <x:f>IF($D276="","",IFERROR(INDEX(Lotes!$B$5:$B$204,MATCH($D276,Lotes!$A$5:$A$204,0)),""))</x:f>
      </x:c>
      <x:c r="F276" s="40" t="str">
        <x:f>IF($D276="","",IFERROR(INDEX(Lotes!$C$5:$C$204,MATCH($D276,Lotes!$A$5:$A$204,0)),""))</x:f>
      </x:c>
      <x:c r="G276" s="27"/>
      <x:c r="H276" s="40" t="str">
        <x:f>IF(A276="","",IF(O276&lt;&gt;"","n.a.",IF(OR(C276="Saída",C276="Perda",C276="Ajuste negativo"),-G276,G276)))</x:f>
      </x:c>
      <x:c r="I276" s="181" t="str">
        <x:f>IF($D276="","",IFERROR(INDEX(Lotes!$K$5:$K$204,MATCH($D276,Lotes!$A$5:$A$204,0)),0))</x:f>
      </x:c>
      <x:c r="J276" s="181" t="str">
        <x:f>IF(A276="","",IF(O276&lt;&gt;"","n.a.",ABS(H276)*I276))</x:f>
      </x:c>
      <x:c r="K276" s="27"/>
      <x:c r="L276" s="27"/>
      <x:c r="M276" s="27"/>
      <x:c r="N276" s="27"/>
      <x:c r="O276" s="163" t="str">
        <x:f>IF(COUNTA(A276:D276,G276,K276:N276)=0,"",IF(OR(A276="",COUNTIFS($A$5:$A$304,A276)&lt;&gt;1),"ID ausente ou duplicado",IF(OR(NOT(ISNUMBER(B276)),B276&lt;=0),"Data ausente ou inválida",IF(AND(C276&lt;&gt;"Entrada",C276&lt;&gt;"Saída",C276&lt;&gt;"Perda",C276&lt;&gt;"Ajuste positivo",C276&lt;&gt;"Ajuste negativo"),"Tipo de movimento inválido",IF(OR(D276="",COUNTIFS(Lotes!$A$5:$A$204,D276)&lt;&gt;1),"Lote ausente ou desconhecido",IF(COUNTIFS(Lotes!$A$5:$A$204,D276,Lotes!$S$5:$S$204,"?*")&gt;0,"Revisar cadastro do lote",IF(B276&lt;INDEX(Lotes!$E$5:$E$204,MATCH(D276,Lotes!$A$5:$A$204,0)),"Movimento anterior ao recebimento",IF(OR(NOT(ISNUMBER(G276)),G276&lt;=0),"Quantidade ausente ou inválida",""))))))))</x:f>
      </x:c>
      <x:c r="P276" s="163" t="n">
        <x:f>IF(O276="",0,1)</x:f>
        <x:v>0</x:v>
      </x:c>
      <x:c r="Q276" s="163" t="n">
        <x:f>IF(COUNTA(A276:D276,G276,K276:N276)=0,0,IF(OR(Listas!$B$19="Todos",E276=Listas!$B$19,E276="",COUNTIFS(Lotes!$A$5:$A$204,D276)&lt;&gt;1),1,0))</x:f>
        <x:v>0</x:v>
      </x:c>
      <x:c r="R276" s="1"/>
      <x:c r="S276" s="1"/>
      <x:c r="T276" s="1"/>
      <x:c r="U276" s="1"/>
      <x:c r="V276" s="1"/>
      <x:c r="W276" s="1"/>
    </x:row>
    <x:row r="277" ht="32" customHeight="1">
      <x:c r="A277" s="170"/>
      <x:c r="B277" s="179"/>
      <x:c r="C277" s="170"/>
      <x:c r="D277" s="170"/>
      <x:c r="E277" s="40" t="str">
        <x:f>IF($D277="","",IFERROR(INDEX(Lotes!$B$5:$B$204,MATCH($D277,Lotes!$A$5:$A$204,0)),""))</x:f>
      </x:c>
      <x:c r="F277" s="40" t="str">
        <x:f>IF($D277="","",IFERROR(INDEX(Lotes!$C$5:$C$204,MATCH($D277,Lotes!$A$5:$A$204,0)),""))</x:f>
      </x:c>
      <x:c r="G277" s="27"/>
      <x:c r="H277" s="40" t="str">
        <x:f>IF(A277="","",IF(O277&lt;&gt;"","n.a.",IF(OR(C277="Saída",C277="Perda",C277="Ajuste negativo"),-G277,G277)))</x:f>
      </x:c>
      <x:c r="I277" s="181" t="str">
        <x:f>IF($D277="","",IFERROR(INDEX(Lotes!$K$5:$K$204,MATCH($D277,Lotes!$A$5:$A$204,0)),0))</x:f>
      </x:c>
      <x:c r="J277" s="181" t="str">
        <x:f>IF(A277="","",IF(O277&lt;&gt;"","n.a.",ABS(H277)*I277))</x:f>
      </x:c>
      <x:c r="K277" s="27"/>
      <x:c r="L277" s="27"/>
      <x:c r="M277" s="27"/>
      <x:c r="N277" s="27"/>
      <x:c r="O277" s="163" t="str">
        <x:f>IF(COUNTA(A277:D277,G277,K277:N277)=0,"",IF(OR(A277="",COUNTIFS($A$5:$A$304,A277)&lt;&gt;1),"ID ausente ou duplicado",IF(OR(NOT(ISNUMBER(B277)),B277&lt;=0),"Data ausente ou inválida",IF(AND(C277&lt;&gt;"Entrada",C277&lt;&gt;"Saída",C277&lt;&gt;"Perda",C277&lt;&gt;"Ajuste positivo",C277&lt;&gt;"Ajuste negativo"),"Tipo de movimento inválido",IF(OR(D277="",COUNTIFS(Lotes!$A$5:$A$204,D277)&lt;&gt;1),"Lote ausente ou desconhecido",IF(COUNTIFS(Lotes!$A$5:$A$204,D277,Lotes!$S$5:$S$204,"?*")&gt;0,"Revisar cadastro do lote",IF(B277&lt;INDEX(Lotes!$E$5:$E$204,MATCH(D277,Lotes!$A$5:$A$204,0)),"Movimento anterior ao recebimento",IF(OR(NOT(ISNUMBER(G277)),G277&lt;=0),"Quantidade ausente ou inválida",""))))))))</x:f>
      </x:c>
      <x:c r="P277" s="163" t="n">
        <x:f>IF(O277="",0,1)</x:f>
        <x:v>0</x:v>
      </x:c>
      <x:c r="Q277" s="163" t="n">
        <x:f>IF(COUNTA(A277:D277,G277,K277:N277)=0,0,IF(OR(Listas!$B$19="Todos",E277=Listas!$B$19,E277="",COUNTIFS(Lotes!$A$5:$A$204,D277)&lt;&gt;1),1,0))</x:f>
        <x:v>0</x:v>
      </x:c>
      <x:c r="R277" s="1"/>
      <x:c r="S277" s="1"/>
      <x:c r="T277" s="1"/>
      <x:c r="U277" s="1"/>
      <x:c r="V277" s="1"/>
      <x:c r="W277" s="1"/>
    </x:row>
    <x:row r="278" ht="32" customHeight="1">
      <x:c r="A278" s="170"/>
      <x:c r="B278" s="179"/>
      <x:c r="C278" s="170"/>
      <x:c r="D278" s="170"/>
      <x:c r="E278" s="40" t="str">
        <x:f>IF($D278="","",IFERROR(INDEX(Lotes!$B$5:$B$204,MATCH($D278,Lotes!$A$5:$A$204,0)),""))</x:f>
      </x:c>
      <x:c r="F278" s="40" t="str">
        <x:f>IF($D278="","",IFERROR(INDEX(Lotes!$C$5:$C$204,MATCH($D278,Lotes!$A$5:$A$204,0)),""))</x:f>
      </x:c>
      <x:c r="G278" s="27"/>
      <x:c r="H278" s="40" t="str">
        <x:f>IF(A278="","",IF(O278&lt;&gt;"","n.a.",IF(OR(C278="Saída",C278="Perda",C278="Ajuste negativo"),-G278,G278)))</x:f>
      </x:c>
      <x:c r="I278" s="181" t="str">
        <x:f>IF($D278="","",IFERROR(INDEX(Lotes!$K$5:$K$204,MATCH($D278,Lotes!$A$5:$A$204,0)),0))</x:f>
      </x:c>
      <x:c r="J278" s="181" t="str">
        <x:f>IF(A278="","",IF(O278&lt;&gt;"","n.a.",ABS(H278)*I278))</x:f>
      </x:c>
      <x:c r="K278" s="27"/>
      <x:c r="L278" s="27"/>
      <x:c r="M278" s="27"/>
      <x:c r="N278" s="27"/>
      <x:c r="O278" s="163" t="str">
        <x:f>IF(COUNTA(A278:D278,G278,K278:N278)=0,"",IF(OR(A278="",COUNTIFS($A$5:$A$304,A278)&lt;&gt;1),"ID ausente ou duplicado",IF(OR(NOT(ISNUMBER(B278)),B278&lt;=0),"Data ausente ou inválida",IF(AND(C278&lt;&gt;"Entrada",C278&lt;&gt;"Saída",C278&lt;&gt;"Perda",C278&lt;&gt;"Ajuste positivo",C278&lt;&gt;"Ajuste negativo"),"Tipo de movimento inválido",IF(OR(D278="",COUNTIFS(Lotes!$A$5:$A$204,D278)&lt;&gt;1),"Lote ausente ou desconhecido",IF(COUNTIFS(Lotes!$A$5:$A$204,D278,Lotes!$S$5:$S$204,"?*")&gt;0,"Revisar cadastro do lote",IF(B278&lt;INDEX(Lotes!$E$5:$E$204,MATCH(D278,Lotes!$A$5:$A$204,0)),"Movimento anterior ao recebimento",IF(OR(NOT(ISNUMBER(G278)),G278&lt;=0),"Quantidade ausente ou inválida",""))))))))</x:f>
      </x:c>
      <x:c r="P278" s="163" t="n">
        <x:f>IF(O278="",0,1)</x:f>
        <x:v>0</x:v>
      </x:c>
      <x:c r="Q278" s="163" t="n">
        <x:f>IF(COUNTA(A278:D278,G278,K278:N278)=0,0,IF(OR(Listas!$B$19="Todos",E278=Listas!$B$19,E278="",COUNTIFS(Lotes!$A$5:$A$204,D278)&lt;&gt;1),1,0))</x:f>
        <x:v>0</x:v>
      </x:c>
      <x:c r="R278" s="1"/>
      <x:c r="S278" s="1"/>
      <x:c r="T278" s="1"/>
      <x:c r="U278" s="1"/>
      <x:c r="V278" s="1"/>
      <x:c r="W278" s="1"/>
    </x:row>
    <x:row r="279" ht="32" customHeight="1">
      <x:c r="A279" s="170"/>
      <x:c r="B279" s="179"/>
      <x:c r="C279" s="170"/>
      <x:c r="D279" s="170"/>
      <x:c r="E279" s="40" t="str">
        <x:f>IF($D279="","",IFERROR(INDEX(Lotes!$B$5:$B$204,MATCH($D279,Lotes!$A$5:$A$204,0)),""))</x:f>
      </x:c>
      <x:c r="F279" s="40" t="str">
        <x:f>IF($D279="","",IFERROR(INDEX(Lotes!$C$5:$C$204,MATCH($D279,Lotes!$A$5:$A$204,0)),""))</x:f>
      </x:c>
      <x:c r="G279" s="27"/>
      <x:c r="H279" s="40" t="str">
        <x:f>IF(A279="","",IF(O279&lt;&gt;"","n.a.",IF(OR(C279="Saída",C279="Perda",C279="Ajuste negativo"),-G279,G279)))</x:f>
      </x:c>
      <x:c r="I279" s="181" t="str">
        <x:f>IF($D279="","",IFERROR(INDEX(Lotes!$K$5:$K$204,MATCH($D279,Lotes!$A$5:$A$204,0)),0))</x:f>
      </x:c>
      <x:c r="J279" s="181" t="str">
        <x:f>IF(A279="","",IF(O279&lt;&gt;"","n.a.",ABS(H279)*I279))</x:f>
      </x:c>
      <x:c r="K279" s="27"/>
      <x:c r="L279" s="27"/>
      <x:c r="M279" s="27"/>
      <x:c r="N279" s="27"/>
      <x:c r="O279" s="163" t="str">
        <x:f>IF(COUNTA(A279:D279,G279,K279:N279)=0,"",IF(OR(A279="",COUNTIFS($A$5:$A$304,A279)&lt;&gt;1),"ID ausente ou duplicado",IF(OR(NOT(ISNUMBER(B279)),B279&lt;=0),"Data ausente ou inválida",IF(AND(C279&lt;&gt;"Entrada",C279&lt;&gt;"Saída",C279&lt;&gt;"Perda",C279&lt;&gt;"Ajuste positivo",C279&lt;&gt;"Ajuste negativo"),"Tipo de movimento inválido",IF(OR(D279="",COUNTIFS(Lotes!$A$5:$A$204,D279)&lt;&gt;1),"Lote ausente ou desconhecido",IF(COUNTIFS(Lotes!$A$5:$A$204,D279,Lotes!$S$5:$S$204,"?*")&gt;0,"Revisar cadastro do lote",IF(B279&lt;INDEX(Lotes!$E$5:$E$204,MATCH(D279,Lotes!$A$5:$A$204,0)),"Movimento anterior ao recebimento",IF(OR(NOT(ISNUMBER(G279)),G279&lt;=0),"Quantidade ausente ou inválida",""))))))))</x:f>
      </x:c>
      <x:c r="P279" s="163" t="n">
        <x:f>IF(O279="",0,1)</x:f>
        <x:v>0</x:v>
      </x:c>
      <x:c r="Q279" s="163" t="n">
        <x:f>IF(COUNTA(A279:D279,G279,K279:N279)=0,0,IF(OR(Listas!$B$19="Todos",E279=Listas!$B$19,E279="",COUNTIFS(Lotes!$A$5:$A$204,D279)&lt;&gt;1),1,0))</x:f>
        <x:v>0</x:v>
      </x:c>
      <x:c r="R279" s="1"/>
      <x:c r="S279" s="1"/>
      <x:c r="T279" s="1"/>
      <x:c r="U279" s="1"/>
      <x:c r="V279" s="1"/>
      <x:c r="W279" s="1"/>
    </x:row>
    <x:row r="280" ht="32" customHeight="1">
      <x:c r="A280" s="170"/>
      <x:c r="B280" s="179"/>
      <x:c r="C280" s="170"/>
      <x:c r="D280" s="170"/>
      <x:c r="E280" s="40" t="str">
        <x:f>IF($D280="","",IFERROR(INDEX(Lotes!$B$5:$B$204,MATCH($D280,Lotes!$A$5:$A$204,0)),""))</x:f>
      </x:c>
      <x:c r="F280" s="40" t="str">
        <x:f>IF($D280="","",IFERROR(INDEX(Lotes!$C$5:$C$204,MATCH($D280,Lotes!$A$5:$A$204,0)),""))</x:f>
      </x:c>
      <x:c r="G280" s="27"/>
      <x:c r="H280" s="40" t="str">
        <x:f>IF(A280="","",IF(O280&lt;&gt;"","n.a.",IF(OR(C280="Saída",C280="Perda",C280="Ajuste negativo"),-G280,G280)))</x:f>
      </x:c>
      <x:c r="I280" s="181" t="str">
        <x:f>IF($D280="","",IFERROR(INDEX(Lotes!$K$5:$K$204,MATCH($D280,Lotes!$A$5:$A$204,0)),0))</x:f>
      </x:c>
      <x:c r="J280" s="181" t="str">
        <x:f>IF(A280="","",IF(O280&lt;&gt;"","n.a.",ABS(H280)*I280))</x:f>
      </x:c>
      <x:c r="K280" s="27"/>
      <x:c r="L280" s="27"/>
      <x:c r="M280" s="27"/>
      <x:c r="N280" s="27"/>
      <x:c r="O280" s="163" t="str">
        <x:f>IF(COUNTA(A280:D280,G280,K280:N280)=0,"",IF(OR(A280="",COUNTIFS($A$5:$A$304,A280)&lt;&gt;1),"ID ausente ou duplicado",IF(OR(NOT(ISNUMBER(B280)),B280&lt;=0),"Data ausente ou inválida",IF(AND(C280&lt;&gt;"Entrada",C280&lt;&gt;"Saída",C280&lt;&gt;"Perda",C280&lt;&gt;"Ajuste positivo",C280&lt;&gt;"Ajuste negativo"),"Tipo de movimento inválido",IF(OR(D280="",COUNTIFS(Lotes!$A$5:$A$204,D280)&lt;&gt;1),"Lote ausente ou desconhecido",IF(COUNTIFS(Lotes!$A$5:$A$204,D280,Lotes!$S$5:$S$204,"?*")&gt;0,"Revisar cadastro do lote",IF(B280&lt;INDEX(Lotes!$E$5:$E$204,MATCH(D280,Lotes!$A$5:$A$204,0)),"Movimento anterior ao recebimento",IF(OR(NOT(ISNUMBER(G280)),G280&lt;=0),"Quantidade ausente ou inválida",""))))))))</x:f>
      </x:c>
      <x:c r="P280" s="163" t="n">
        <x:f>IF(O280="",0,1)</x:f>
        <x:v>0</x:v>
      </x:c>
      <x:c r="Q280" s="163" t="n">
        <x:f>IF(COUNTA(A280:D280,G280,K280:N280)=0,0,IF(OR(Listas!$B$19="Todos",E280=Listas!$B$19,E280="",COUNTIFS(Lotes!$A$5:$A$204,D280)&lt;&gt;1),1,0))</x:f>
        <x:v>0</x:v>
      </x:c>
      <x:c r="R280" s="1"/>
      <x:c r="S280" s="1"/>
      <x:c r="T280" s="1"/>
      <x:c r="U280" s="1"/>
      <x:c r="V280" s="1"/>
      <x:c r="W280" s="1"/>
    </x:row>
    <x:row r="281" ht="32" customHeight="1">
      <x:c r="A281" s="170"/>
      <x:c r="B281" s="179"/>
      <x:c r="C281" s="170"/>
      <x:c r="D281" s="170"/>
      <x:c r="E281" s="40" t="str">
        <x:f>IF($D281="","",IFERROR(INDEX(Lotes!$B$5:$B$204,MATCH($D281,Lotes!$A$5:$A$204,0)),""))</x:f>
      </x:c>
      <x:c r="F281" s="40" t="str">
        <x:f>IF($D281="","",IFERROR(INDEX(Lotes!$C$5:$C$204,MATCH($D281,Lotes!$A$5:$A$204,0)),""))</x:f>
      </x:c>
      <x:c r="G281" s="27"/>
      <x:c r="H281" s="40" t="str">
        <x:f>IF(A281="","",IF(O281&lt;&gt;"","n.a.",IF(OR(C281="Saída",C281="Perda",C281="Ajuste negativo"),-G281,G281)))</x:f>
      </x:c>
      <x:c r="I281" s="181" t="str">
        <x:f>IF($D281="","",IFERROR(INDEX(Lotes!$K$5:$K$204,MATCH($D281,Lotes!$A$5:$A$204,0)),0))</x:f>
      </x:c>
      <x:c r="J281" s="181" t="str">
        <x:f>IF(A281="","",IF(O281&lt;&gt;"","n.a.",ABS(H281)*I281))</x:f>
      </x:c>
      <x:c r="K281" s="27"/>
      <x:c r="L281" s="27"/>
      <x:c r="M281" s="27"/>
      <x:c r="N281" s="27"/>
      <x:c r="O281" s="163" t="str">
        <x:f>IF(COUNTA(A281:D281,G281,K281:N281)=0,"",IF(OR(A281="",COUNTIFS($A$5:$A$304,A281)&lt;&gt;1),"ID ausente ou duplicado",IF(OR(NOT(ISNUMBER(B281)),B281&lt;=0),"Data ausente ou inválida",IF(AND(C281&lt;&gt;"Entrada",C281&lt;&gt;"Saída",C281&lt;&gt;"Perda",C281&lt;&gt;"Ajuste positivo",C281&lt;&gt;"Ajuste negativo"),"Tipo de movimento inválido",IF(OR(D281="",COUNTIFS(Lotes!$A$5:$A$204,D281)&lt;&gt;1),"Lote ausente ou desconhecido",IF(COUNTIFS(Lotes!$A$5:$A$204,D281,Lotes!$S$5:$S$204,"?*")&gt;0,"Revisar cadastro do lote",IF(B281&lt;INDEX(Lotes!$E$5:$E$204,MATCH(D281,Lotes!$A$5:$A$204,0)),"Movimento anterior ao recebimento",IF(OR(NOT(ISNUMBER(G281)),G281&lt;=0),"Quantidade ausente ou inválida",""))))))))</x:f>
      </x:c>
      <x:c r="P281" s="163" t="n">
        <x:f>IF(O281="",0,1)</x:f>
        <x:v>0</x:v>
      </x:c>
      <x:c r="Q281" s="163" t="n">
        <x:f>IF(COUNTA(A281:D281,G281,K281:N281)=0,0,IF(OR(Listas!$B$19="Todos",E281=Listas!$B$19,E281="",COUNTIFS(Lotes!$A$5:$A$204,D281)&lt;&gt;1),1,0))</x:f>
        <x:v>0</x:v>
      </x:c>
      <x:c r="R281" s="1"/>
      <x:c r="S281" s="1"/>
      <x:c r="T281" s="1"/>
      <x:c r="U281" s="1"/>
      <x:c r="V281" s="1"/>
      <x:c r="W281" s="1"/>
    </x:row>
    <x:row r="282" ht="32" customHeight="1">
      <x:c r="A282" s="170"/>
      <x:c r="B282" s="179"/>
      <x:c r="C282" s="170"/>
      <x:c r="D282" s="170"/>
      <x:c r="E282" s="40" t="str">
        <x:f>IF($D282="","",IFERROR(INDEX(Lotes!$B$5:$B$204,MATCH($D282,Lotes!$A$5:$A$204,0)),""))</x:f>
      </x:c>
      <x:c r="F282" s="40" t="str">
        <x:f>IF($D282="","",IFERROR(INDEX(Lotes!$C$5:$C$204,MATCH($D282,Lotes!$A$5:$A$204,0)),""))</x:f>
      </x:c>
      <x:c r="G282" s="27"/>
      <x:c r="H282" s="40" t="str">
        <x:f>IF(A282="","",IF(O282&lt;&gt;"","n.a.",IF(OR(C282="Saída",C282="Perda",C282="Ajuste negativo"),-G282,G282)))</x:f>
      </x:c>
      <x:c r="I282" s="181" t="str">
        <x:f>IF($D282="","",IFERROR(INDEX(Lotes!$K$5:$K$204,MATCH($D282,Lotes!$A$5:$A$204,0)),0))</x:f>
      </x:c>
      <x:c r="J282" s="181" t="str">
        <x:f>IF(A282="","",IF(O282&lt;&gt;"","n.a.",ABS(H282)*I282))</x:f>
      </x:c>
      <x:c r="K282" s="27"/>
      <x:c r="L282" s="27"/>
      <x:c r="M282" s="27"/>
      <x:c r="N282" s="27"/>
      <x:c r="O282" s="163" t="str">
        <x:f>IF(COUNTA(A282:D282,G282,K282:N282)=0,"",IF(OR(A282="",COUNTIFS($A$5:$A$304,A282)&lt;&gt;1),"ID ausente ou duplicado",IF(OR(NOT(ISNUMBER(B282)),B282&lt;=0),"Data ausente ou inválida",IF(AND(C282&lt;&gt;"Entrada",C282&lt;&gt;"Saída",C282&lt;&gt;"Perda",C282&lt;&gt;"Ajuste positivo",C282&lt;&gt;"Ajuste negativo"),"Tipo de movimento inválido",IF(OR(D282="",COUNTIFS(Lotes!$A$5:$A$204,D282)&lt;&gt;1),"Lote ausente ou desconhecido",IF(COUNTIFS(Lotes!$A$5:$A$204,D282,Lotes!$S$5:$S$204,"?*")&gt;0,"Revisar cadastro do lote",IF(B282&lt;INDEX(Lotes!$E$5:$E$204,MATCH(D282,Lotes!$A$5:$A$204,0)),"Movimento anterior ao recebimento",IF(OR(NOT(ISNUMBER(G282)),G282&lt;=0),"Quantidade ausente ou inválida",""))))))))</x:f>
      </x:c>
      <x:c r="P282" s="163" t="n">
        <x:f>IF(O282="",0,1)</x:f>
        <x:v>0</x:v>
      </x:c>
      <x:c r="Q282" s="163" t="n">
        <x:f>IF(COUNTA(A282:D282,G282,K282:N282)=0,0,IF(OR(Listas!$B$19="Todos",E282=Listas!$B$19,E282="",COUNTIFS(Lotes!$A$5:$A$204,D282)&lt;&gt;1),1,0))</x:f>
        <x:v>0</x:v>
      </x:c>
      <x:c r="R282" s="1"/>
      <x:c r="S282" s="1"/>
      <x:c r="T282" s="1"/>
      <x:c r="U282" s="1"/>
      <x:c r="V282" s="1"/>
      <x:c r="W282" s="1"/>
    </x:row>
    <x:row r="283" ht="32" customHeight="1">
      <x:c r="A283" s="170"/>
      <x:c r="B283" s="179"/>
      <x:c r="C283" s="170"/>
      <x:c r="D283" s="170"/>
      <x:c r="E283" s="40" t="str">
        <x:f>IF($D283="","",IFERROR(INDEX(Lotes!$B$5:$B$204,MATCH($D283,Lotes!$A$5:$A$204,0)),""))</x:f>
      </x:c>
      <x:c r="F283" s="40" t="str">
        <x:f>IF($D283="","",IFERROR(INDEX(Lotes!$C$5:$C$204,MATCH($D283,Lotes!$A$5:$A$204,0)),""))</x:f>
      </x:c>
      <x:c r="G283" s="27"/>
      <x:c r="H283" s="40" t="str">
        <x:f>IF(A283="","",IF(O283&lt;&gt;"","n.a.",IF(OR(C283="Saída",C283="Perda",C283="Ajuste negativo"),-G283,G283)))</x:f>
      </x:c>
      <x:c r="I283" s="181" t="str">
        <x:f>IF($D283="","",IFERROR(INDEX(Lotes!$K$5:$K$204,MATCH($D283,Lotes!$A$5:$A$204,0)),0))</x:f>
      </x:c>
      <x:c r="J283" s="181" t="str">
        <x:f>IF(A283="","",IF(O283&lt;&gt;"","n.a.",ABS(H283)*I283))</x:f>
      </x:c>
      <x:c r="K283" s="27"/>
      <x:c r="L283" s="27"/>
      <x:c r="M283" s="27"/>
      <x:c r="N283" s="27"/>
      <x:c r="O283" s="163" t="str">
        <x:f>IF(COUNTA(A283:D283,G283,K283:N283)=0,"",IF(OR(A283="",COUNTIFS($A$5:$A$304,A283)&lt;&gt;1),"ID ausente ou duplicado",IF(OR(NOT(ISNUMBER(B283)),B283&lt;=0),"Data ausente ou inválida",IF(AND(C283&lt;&gt;"Entrada",C283&lt;&gt;"Saída",C283&lt;&gt;"Perda",C283&lt;&gt;"Ajuste positivo",C283&lt;&gt;"Ajuste negativo"),"Tipo de movimento inválido",IF(OR(D283="",COUNTIFS(Lotes!$A$5:$A$204,D283)&lt;&gt;1),"Lote ausente ou desconhecido",IF(COUNTIFS(Lotes!$A$5:$A$204,D283,Lotes!$S$5:$S$204,"?*")&gt;0,"Revisar cadastro do lote",IF(B283&lt;INDEX(Lotes!$E$5:$E$204,MATCH(D283,Lotes!$A$5:$A$204,0)),"Movimento anterior ao recebimento",IF(OR(NOT(ISNUMBER(G283)),G283&lt;=0),"Quantidade ausente ou inválida",""))))))))</x:f>
      </x:c>
      <x:c r="P283" s="163" t="n">
        <x:f>IF(O283="",0,1)</x:f>
        <x:v>0</x:v>
      </x:c>
      <x:c r="Q283" s="163" t="n">
        <x:f>IF(COUNTA(A283:D283,G283,K283:N283)=0,0,IF(OR(Listas!$B$19="Todos",E283=Listas!$B$19,E283="",COUNTIFS(Lotes!$A$5:$A$204,D283)&lt;&gt;1),1,0))</x:f>
        <x:v>0</x:v>
      </x:c>
      <x:c r="R283" s="1"/>
      <x:c r="S283" s="1"/>
      <x:c r="T283" s="1"/>
      <x:c r="U283" s="1"/>
      <x:c r="V283" s="1"/>
      <x:c r="W283" s="1"/>
    </x:row>
    <x:row r="284" ht="32" customHeight="1">
      <x:c r="A284" s="170"/>
      <x:c r="B284" s="179"/>
      <x:c r="C284" s="170"/>
      <x:c r="D284" s="170"/>
      <x:c r="E284" s="40" t="str">
        <x:f>IF($D284="","",IFERROR(INDEX(Lotes!$B$5:$B$204,MATCH($D284,Lotes!$A$5:$A$204,0)),""))</x:f>
      </x:c>
      <x:c r="F284" s="40" t="str">
        <x:f>IF($D284="","",IFERROR(INDEX(Lotes!$C$5:$C$204,MATCH($D284,Lotes!$A$5:$A$204,0)),""))</x:f>
      </x:c>
      <x:c r="G284" s="27"/>
      <x:c r="H284" s="40" t="str">
        <x:f>IF(A284="","",IF(O284&lt;&gt;"","n.a.",IF(OR(C284="Saída",C284="Perda",C284="Ajuste negativo"),-G284,G284)))</x:f>
      </x:c>
      <x:c r="I284" s="181" t="str">
        <x:f>IF($D284="","",IFERROR(INDEX(Lotes!$K$5:$K$204,MATCH($D284,Lotes!$A$5:$A$204,0)),0))</x:f>
      </x:c>
      <x:c r="J284" s="181" t="str">
        <x:f>IF(A284="","",IF(O284&lt;&gt;"","n.a.",ABS(H284)*I284))</x:f>
      </x:c>
      <x:c r="K284" s="27"/>
      <x:c r="L284" s="27"/>
      <x:c r="M284" s="27"/>
      <x:c r="N284" s="27"/>
      <x:c r="O284" s="163" t="str">
        <x:f>IF(COUNTA(A284:D284,G284,K284:N284)=0,"",IF(OR(A284="",COUNTIFS($A$5:$A$304,A284)&lt;&gt;1),"ID ausente ou duplicado",IF(OR(NOT(ISNUMBER(B284)),B284&lt;=0),"Data ausente ou inválida",IF(AND(C284&lt;&gt;"Entrada",C284&lt;&gt;"Saída",C284&lt;&gt;"Perda",C284&lt;&gt;"Ajuste positivo",C284&lt;&gt;"Ajuste negativo"),"Tipo de movimento inválido",IF(OR(D284="",COUNTIFS(Lotes!$A$5:$A$204,D284)&lt;&gt;1),"Lote ausente ou desconhecido",IF(COUNTIFS(Lotes!$A$5:$A$204,D284,Lotes!$S$5:$S$204,"?*")&gt;0,"Revisar cadastro do lote",IF(B284&lt;INDEX(Lotes!$E$5:$E$204,MATCH(D284,Lotes!$A$5:$A$204,0)),"Movimento anterior ao recebimento",IF(OR(NOT(ISNUMBER(G284)),G284&lt;=0),"Quantidade ausente ou inválida",""))))))))</x:f>
      </x:c>
      <x:c r="P284" s="163" t="n">
        <x:f>IF(O284="",0,1)</x:f>
        <x:v>0</x:v>
      </x:c>
      <x:c r="Q284" s="163" t="n">
        <x:f>IF(COUNTA(A284:D284,G284,K284:N284)=0,0,IF(OR(Listas!$B$19="Todos",E284=Listas!$B$19,E284="",COUNTIFS(Lotes!$A$5:$A$204,D284)&lt;&gt;1),1,0))</x:f>
        <x:v>0</x:v>
      </x:c>
      <x:c r="R284" s="1"/>
      <x:c r="S284" s="1"/>
      <x:c r="T284" s="1"/>
      <x:c r="U284" s="1"/>
      <x:c r="V284" s="1"/>
      <x:c r="W284" s="1"/>
    </x:row>
    <x:row r="285" ht="32" customHeight="1">
      <x:c r="A285" s="170"/>
      <x:c r="B285" s="179"/>
      <x:c r="C285" s="170"/>
      <x:c r="D285" s="170"/>
      <x:c r="E285" s="40" t="str">
        <x:f>IF($D285="","",IFERROR(INDEX(Lotes!$B$5:$B$204,MATCH($D285,Lotes!$A$5:$A$204,0)),""))</x:f>
      </x:c>
      <x:c r="F285" s="40" t="str">
        <x:f>IF($D285="","",IFERROR(INDEX(Lotes!$C$5:$C$204,MATCH($D285,Lotes!$A$5:$A$204,0)),""))</x:f>
      </x:c>
      <x:c r="G285" s="27"/>
      <x:c r="H285" s="40" t="str">
        <x:f>IF(A285="","",IF(O285&lt;&gt;"","n.a.",IF(OR(C285="Saída",C285="Perda",C285="Ajuste negativo"),-G285,G285)))</x:f>
      </x:c>
      <x:c r="I285" s="181" t="str">
        <x:f>IF($D285="","",IFERROR(INDEX(Lotes!$K$5:$K$204,MATCH($D285,Lotes!$A$5:$A$204,0)),0))</x:f>
      </x:c>
      <x:c r="J285" s="181" t="str">
        <x:f>IF(A285="","",IF(O285&lt;&gt;"","n.a.",ABS(H285)*I285))</x:f>
      </x:c>
      <x:c r="K285" s="27"/>
      <x:c r="L285" s="27"/>
      <x:c r="M285" s="27"/>
      <x:c r="N285" s="27"/>
      <x:c r="O285" s="163" t="str">
        <x:f>IF(COUNTA(A285:D285,G285,K285:N285)=0,"",IF(OR(A285="",COUNTIFS($A$5:$A$304,A285)&lt;&gt;1),"ID ausente ou duplicado",IF(OR(NOT(ISNUMBER(B285)),B285&lt;=0),"Data ausente ou inválida",IF(AND(C285&lt;&gt;"Entrada",C285&lt;&gt;"Saída",C285&lt;&gt;"Perda",C285&lt;&gt;"Ajuste positivo",C285&lt;&gt;"Ajuste negativo"),"Tipo de movimento inválido",IF(OR(D285="",COUNTIFS(Lotes!$A$5:$A$204,D285)&lt;&gt;1),"Lote ausente ou desconhecido",IF(COUNTIFS(Lotes!$A$5:$A$204,D285,Lotes!$S$5:$S$204,"?*")&gt;0,"Revisar cadastro do lote",IF(B285&lt;INDEX(Lotes!$E$5:$E$204,MATCH(D285,Lotes!$A$5:$A$204,0)),"Movimento anterior ao recebimento",IF(OR(NOT(ISNUMBER(G285)),G285&lt;=0),"Quantidade ausente ou inválida",""))))))))</x:f>
      </x:c>
      <x:c r="P285" s="163" t="n">
        <x:f>IF(O285="",0,1)</x:f>
        <x:v>0</x:v>
      </x:c>
      <x:c r="Q285" s="163" t="n">
        <x:f>IF(COUNTA(A285:D285,G285,K285:N285)=0,0,IF(OR(Listas!$B$19="Todos",E285=Listas!$B$19,E285="",COUNTIFS(Lotes!$A$5:$A$204,D285)&lt;&gt;1),1,0))</x:f>
        <x:v>0</x:v>
      </x:c>
      <x:c r="R285" s="1"/>
      <x:c r="S285" s="1"/>
      <x:c r="T285" s="1"/>
      <x:c r="U285" s="1"/>
      <x:c r="V285" s="1"/>
      <x:c r="W285" s="1"/>
    </x:row>
    <x:row r="286" ht="32" customHeight="1">
      <x:c r="A286" s="170"/>
      <x:c r="B286" s="179"/>
      <x:c r="C286" s="170"/>
      <x:c r="D286" s="170"/>
      <x:c r="E286" s="40" t="str">
        <x:f>IF($D286="","",IFERROR(INDEX(Lotes!$B$5:$B$204,MATCH($D286,Lotes!$A$5:$A$204,0)),""))</x:f>
      </x:c>
      <x:c r="F286" s="40" t="str">
        <x:f>IF($D286="","",IFERROR(INDEX(Lotes!$C$5:$C$204,MATCH($D286,Lotes!$A$5:$A$204,0)),""))</x:f>
      </x:c>
      <x:c r="G286" s="27"/>
      <x:c r="H286" s="40" t="str">
        <x:f>IF(A286="","",IF(O286&lt;&gt;"","n.a.",IF(OR(C286="Saída",C286="Perda",C286="Ajuste negativo"),-G286,G286)))</x:f>
      </x:c>
      <x:c r="I286" s="181" t="str">
        <x:f>IF($D286="","",IFERROR(INDEX(Lotes!$K$5:$K$204,MATCH($D286,Lotes!$A$5:$A$204,0)),0))</x:f>
      </x:c>
      <x:c r="J286" s="181" t="str">
        <x:f>IF(A286="","",IF(O286&lt;&gt;"","n.a.",ABS(H286)*I286))</x:f>
      </x:c>
      <x:c r="K286" s="27"/>
      <x:c r="L286" s="27"/>
      <x:c r="M286" s="27"/>
      <x:c r="N286" s="27"/>
      <x:c r="O286" s="163" t="str">
        <x:f>IF(COUNTA(A286:D286,G286,K286:N286)=0,"",IF(OR(A286="",COUNTIFS($A$5:$A$304,A286)&lt;&gt;1),"ID ausente ou duplicado",IF(OR(NOT(ISNUMBER(B286)),B286&lt;=0),"Data ausente ou inválida",IF(AND(C286&lt;&gt;"Entrada",C286&lt;&gt;"Saída",C286&lt;&gt;"Perda",C286&lt;&gt;"Ajuste positivo",C286&lt;&gt;"Ajuste negativo"),"Tipo de movimento inválido",IF(OR(D286="",COUNTIFS(Lotes!$A$5:$A$204,D286)&lt;&gt;1),"Lote ausente ou desconhecido",IF(COUNTIFS(Lotes!$A$5:$A$204,D286,Lotes!$S$5:$S$204,"?*")&gt;0,"Revisar cadastro do lote",IF(B286&lt;INDEX(Lotes!$E$5:$E$204,MATCH(D286,Lotes!$A$5:$A$204,0)),"Movimento anterior ao recebimento",IF(OR(NOT(ISNUMBER(G286)),G286&lt;=0),"Quantidade ausente ou inválida",""))))))))</x:f>
      </x:c>
      <x:c r="P286" s="163" t="n">
        <x:f>IF(O286="",0,1)</x:f>
        <x:v>0</x:v>
      </x:c>
      <x:c r="Q286" s="163" t="n">
        <x:f>IF(COUNTA(A286:D286,G286,K286:N286)=0,0,IF(OR(Listas!$B$19="Todos",E286=Listas!$B$19,E286="",COUNTIFS(Lotes!$A$5:$A$204,D286)&lt;&gt;1),1,0))</x:f>
        <x:v>0</x:v>
      </x:c>
      <x:c r="R286" s="1"/>
      <x:c r="S286" s="1"/>
      <x:c r="T286" s="1"/>
      <x:c r="U286" s="1"/>
      <x:c r="V286" s="1"/>
      <x:c r="W286" s="1"/>
    </x:row>
    <x:row r="287" ht="32" customHeight="1">
      <x:c r="A287" s="170"/>
      <x:c r="B287" s="179"/>
      <x:c r="C287" s="170"/>
      <x:c r="D287" s="170"/>
      <x:c r="E287" s="40" t="str">
        <x:f>IF($D287="","",IFERROR(INDEX(Lotes!$B$5:$B$204,MATCH($D287,Lotes!$A$5:$A$204,0)),""))</x:f>
      </x:c>
      <x:c r="F287" s="40" t="str">
        <x:f>IF($D287="","",IFERROR(INDEX(Lotes!$C$5:$C$204,MATCH($D287,Lotes!$A$5:$A$204,0)),""))</x:f>
      </x:c>
      <x:c r="G287" s="27"/>
      <x:c r="H287" s="40" t="str">
        <x:f>IF(A287="","",IF(O287&lt;&gt;"","n.a.",IF(OR(C287="Saída",C287="Perda",C287="Ajuste negativo"),-G287,G287)))</x:f>
      </x:c>
      <x:c r="I287" s="181" t="str">
        <x:f>IF($D287="","",IFERROR(INDEX(Lotes!$K$5:$K$204,MATCH($D287,Lotes!$A$5:$A$204,0)),0))</x:f>
      </x:c>
      <x:c r="J287" s="181" t="str">
        <x:f>IF(A287="","",IF(O287&lt;&gt;"","n.a.",ABS(H287)*I287))</x:f>
      </x:c>
      <x:c r="K287" s="27"/>
      <x:c r="L287" s="27"/>
      <x:c r="M287" s="27"/>
      <x:c r="N287" s="27"/>
      <x:c r="O287" s="163" t="str">
        <x:f>IF(COUNTA(A287:D287,G287,K287:N287)=0,"",IF(OR(A287="",COUNTIFS($A$5:$A$304,A287)&lt;&gt;1),"ID ausente ou duplicado",IF(OR(NOT(ISNUMBER(B287)),B287&lt;=0),"Data ausente ou inválida",IF(AND(C287&lt;&gt;"Entrada",C287&lt;&gt;"Saída",C287&lt;&gt;"Perda",C287&lt;&gt;"Ajuste positivo",C287&lt;&gt;"Ajuste negativo"),"Tipo de movimento inválido",IF(OR(D287="",COUNTIFS(Lotes!$A$5:$A$204,D287)&lt;&gt;1),"Lote ausente ou desconhecido",IF(COUNTIFS(Lotes!$A$5:$A$204,D287,Lotes!$S$5:$S$204,"?*")&gt;0,"Revisar cadastro do lote",IF(B287&lt;INDEX(Lotes!$E$5:$E$204,MATCH(D287,Lotes!$A$5:$A$204,0)),"Movimento anterior ao recebimento",IF(OR(NOT(ISNUMBER(G287)),G287&lt;=0),"Quantidade ausente ou inválida",""))))))))</x:f>
      </x:c>
      <x:c r="P287" s="163" t="n">
        <x:f>IF(O287="",0,1)</x:f>
        <x:v>0</x:v>
      </x:c>
      <x:c r="Q287" s="163" t="n">
        <x:f>IF(COUNTA(A287:D287,G287,K287:N287)=0,0,IF(OR(Listas!$B$19="Todos",E287=Listas!$B$19,E287="",COUNTIFS(Lotes!$A$5:$A$204,D287)&lt;&gt;1),1,0))</x:f>
        <x:v>0</x:v>
      </x:c>
      <x:c r="R287" s="1"/>
      <x:c r="S287" s="1"/>
      <x:c r="T287" s="1"/>
      <x:c r="U287" s="1"/>
      <x:c r="V287" s="1"/>
      <x:c r="W287" s="1"/>
    </x:row>
    <x:row r="288" ht="32" customHeight="1">
      <x:c r="A288" s="170"/>
      <x:c r="B288" s="179"/>
      <x:c r="C288" s="170"/>
      <x:c r="D288" s="170"/>
      <x:c r="E288" s="40" t="str">
        <x:f>IF($D288="","",IFERROR(INDEX(Lotes!$B$5:$B$204,MATCH($D288,Lotes!$A$5:$A$204,0)),""))</x:f>
      </x:c>
      <x:c r="F288" s="40" t="str">
        <x:f>IF($D288="","",IFERROR(INDEX(Lotes!$C$5:$C$204,MATCH($D288,Lotes!$A$5:$A$204,0)),""))</x:f>
      </x:c>
      <x:c r="G288" s="27"/>
      <x:c r="H288" s="40" t="str">
        <x:f>IF(A288="","",IF(O288&lt;&gt;"","n.a.",IF(OR(C288="Saída",C288="Perda",C288="Ajuste negativo"),-G288,G288)))</x:f>
      </x:c>
      <x:c r="I288" s="181" t="str">
        <x:f>IF($D288="","",IFERROR(INDEX(Lotes!$K$5:$K$204,MATCH($D288,Lotes!$A$5:$A$204,0)),0))</x:f>
      </x:c>
      <x:c r="J288" s="181" t="str">
        <x:f>IF(A288="","",IF(O288&lt;&gt;"","n.a.",ABS(H288)*I288))</x:f>
      </x:c>
      <x:c r="K288" s="27"/>
      <x:c r="L288" s="27"/>
      <x:c r="M288" s="27"/>
      <x:c r="N288" s="27"/>
      <x:c r="O288" s="163" t="str">
        <x:f>IF(COUNTA(A288:D288,G288,K288:N288)=0,"",IF(OR(A288="",COUNTIFS($A$5:$A$304,A288)&lt;&gt;1),"ID ausente ou duplicado",IF(OR(NOT(ISNUMBER(B288)),B288&lt;=0),"Data ausente ou inválida",IF(AND(C288&lt;&gt;"Entrada",C288&lt;&gt;"Saída",C288&lt;&gt;"Perda",C288&lt;&gt;"Ajuste positivo",C288&lt;&gt;"Ajuste negativo"),"Tipo de movimento inválido",IF(OR(D288="",COUNTIFS(Lotes!$A$5:$A$204,D288)&lt;&gt;1),"Lote ausente ou desconhecido",IF(COUNTIFS(Lotes!$A$5:$A$204,D288,Lotes!$S$5:$S$204,"?*")&gt;0,"Revisar cadastro do lote",IF(B288&lt;INDEX(Lotes!$E$5:$E$204,MATCH(D288,Lotes!$A$5:$A$204,0)),"Movimento anterior ao recebimento",IF(OR(NOT(ISNUMBER(G288)),G288&lt;=0),"Quantidade ausente ou inválida",""))))))))</x:f>
      </x:c>
      <x:c r="P288" s="163" t="n">
        <x:f>IF(O288="",0,1)</x:f>
        <x:v>0</x:v>
      </x:c>
      <x:c r="Q288" s="163" t="n">
        <x:f>IF(COUNTA(A288:D288,G288,K288:N288)=0,0,IF(OR(Listas!$B$19="Todos",E288=Listas!$B$19,E288="",COUNTIFS(Lotes!$A$5:$A$204,D288)&lt;&gt;1),1,0))</x:f>
        <x:v>0</x:v>
      </x:c>
      <x:c r="R288" s="1"/>
      <x:c r="S288" s="1"/>
      <x:c r="T288" s="1"/>
      <x:c r="U288" s="1"/>
      <x:c r="V288" s="1"/>
      <x:c r="W288" s="1"/>
    </x:row>
    <x:row r="289" ht="32" customHeight="1">
      <x:c r="A289" s="170"/>
      <x:c r="B289" s="179"/>
      <x:c r="C289" s="170"/>
      <x:c r="D289" s="170"/>
      <x:c r="E289" s="40" t="str">
        <x:f>IF($D289="","",IFERROR(INDEX(Lotes!$B$5:$B$204,MATCH($D289,Lotes!$A$5:$A$204,0)),""))</x:f>
      </x:c>
      <x:c r="F289" s="40" t="str">
        <x:f>IF($D289="","",IFERROR(INDEX(Lotes!$C$5:$C$204,MATCH($D289,Lotes!$A$5:$A$204,0)),""))</x:f>
      </x:c>
      <x:c r="G289" s="27"/>
      <x:c r="H289" s="40" t="str">
        <x:f>IF(A289="","",IF(O289&lt;&gt;"","n.a.",IF(OR(C289="Saída",C289="Perda",C289="Ajuste negativo"),-G289,G289)))</x:f>
      </x:c>
      <x:c r="I289" s="181" t="str">
        <x:f>IF($D289="","",IFERROR(INDEX(Lotes!$K$5:$K$204,MATCH($D289,Lotes!$A$5:$A$204,0)),0))</x:f>
      </x:c>
      <x:c r="J289" s="181" t="str">
        <x:f>IF(A289="","",IF(O289&lt;&gt;"","n.a.",ABS(H289)*I289))</x:f>
      </x:c>
      <x:c r="K289" s="27"/>
      <x:c r="L289" s="27"/>
      <x:c r="M289" s="27"/>
      <x:c r="N289" s="27"/>
      <x:c r="O289" s="163" t="str">
        <x:f>IF(COUNTA(A289:D289,G289,K289:N289)=0,"",IF(OR(A289="",COUNTIFS($A$5:$A$304,A289)&lt;&gt;1),"ID ausente ou duplicado",IF(OR(NOT(ISNUMBER(B289)),B289&lt;=0),"Data ausente ou inválida",IF(AND(C289&lt;&gt;"Entrada",C289&lt;&gt;"Saída",C289&lt;&gt;"Perda",C289&lt;&gt;"Ajuste positivo",C289&lt;&gt;"Ajuste negativo"),"Tipo de movimento inválido",IF(OR(D289="",COUNTIFS(Lotes!$A$5:$A$204,D289)&lt;&gt;1),"Lote ausente ou desconhecido",IF(COUNTIFS(Lotes!$A$5:$A$204,D289,Lotes!$S$5:$S$204,"?*")&gt;0,"Revisar cadastro do lote",IF(B289&lt;INDEX(Lotes!$E$5:$E$204,MATCH(D289,Lotes!$A$5:$A$204,0)),"Movimento anterior ao recebimento",IF(OR(NOT(ISNUMBER(G289)),G289&lt;=0),"Quantidade ausente ou inválida",""))))))))</x:f>
      </x:c>
      <x:c r="P289" s="163" t="n">
        <x:f>IF(O289="",0,1)</x:f>
        <x:v>0</x:v>
      </x:c>
      <x:c r="Q289" s="163" t="n">
        <x:f>IF(COUNTA(A289:D289,G289,K289:N289)=0,0,IF(OR(Listas!$B$19="Todos",E289=Listas!$B$19,E289="",COUNTIFS(Lotes!$A$5:$A$204,D289)&lt;&gt;1),1,0))</x:f>
        <x:v>0</x:v>
      </x:c>
      <x:c r="R289" s="1"/>
      <x:c r="S289" s="1"/>
      <x:c r="T289" s="1"/>
      <x:c r="U289" s="1"/>
      <x:c r="V289" s="1"/>
      <x:c r="W289" s="1"/>
    </x:row>
    <x:row r="290" ht="32" customHeight="1">
      <x:c r="A290" s="170"/>
      <x:c r="B290" s="179"/>
      <x:c r="C290" s="170"/>
      <x:c r="D290" s="170"/>
      <x:c r="E290" s="40" t="str">
        <x:f>IF($D290="","",IFERROR(INDEX(Lotes!$B$5:$B$204,MATCH($D290,Lotes!$A$5:$A$204,0)),""))</x:f>
      </x:c>
      <x:c r="F290" s="40" t="str">
        <x:f>IF($D290="","",IFERROR(INDEX(Lotes!$C$5:$C$204,MATCH($D290,Lotes!$A$5:$A$204,0)),""))</x:f>
      </x:c>
      <x:c r="G290" s="27"/>
      <x:c r="H290" s="40" t="str">
        <x:f>IF(A290="","",IF(O290&lt;&gt;"","n.a.",IF(OR(C290="Saída",C290="Perda",C290="Ajuste negativo"),-G290,G290)))</x:f>
      </x:c>
      <x:c r="I290" s="181" t="str">
        <x:f>IF($D290="","",IFERROR(INDEX(Lotes!$K$5:$K$204,MATCH($D290,Lotes!$A$5:$A$204,0)),0))</x:f>
      </x:c>
      <x:c r="J290" s="181" t="str">
        <x:f>IF(A290="","",IF(O290&lt;&gt;"","n.a.",ABS(H290)*I290))</x:f>
      </x:c>
      <x:c r="K290" s="27"/>
      <x:c r="L290" s="27"/>
      <x:c r="M290" s="27"/>
      <x:c r="N290" s="27"/>
      <x:c r="O290" s="163" t="str">
        <x:f>IF(COUNTA(A290:D290,G290,K290:N290)=0,"",IF(OR(A290="",COUNTIFS($A$5:$A$304,A290)&lt;&gt;1),"ID ausente ou duplicado",IF(OR(NOT(ISNUMBER(B290)),B290&lt;=0),"Data ausente ou inválida",IF(AND(C290&lt;&gt;"Entrada",C290&lt;&gt;"Saída",C290&lt;&gt;"Perda",C290&lt;&gt;"Ajuste positivo",C290&lt;&gt;"Ajuste negativo"),"Tipo de movimento inválido",IF(OR(D290="",COUNTIFS(Lotes!$A$5:$A$204,D290)&lt;&gt;1),"Lote ausente ou desconhecido",IF(COUNTIFS(Lotes!$A$5:$A$204,D290,Lotes!$S$5:$S$204,"?*")&gt;0,"Revisar cadastro do lote",IF(B290&lt;INDEX(Lotes!$E$5:$E$204,MATCH(D290,Lotes!$A$5:$A$204,0)),"Movimento anterior ao recebimento",IF(OR(NOT(ISNUMBER(G290)),G290&lt;=0),"Quantidade ausente ou inválida",""))))))))</x:f>
      </x:c>
      <x:c r="P290" s="163" t="n">
        <x:f>IF(O290="",0,1)</x:f>
        <x:v>0</x:v>
      </x:c>
      <x:c r="Q290" s="163" t="n">
        <x:f>IF(COUNTA(A290:D290,G290,K290:N290)=0,0,IF(OR(Listas!$B$19="Todos",E290=Listas!$B$19,E290="",COUNTIFS(Lotes!$A$5:$A$204,D290)&lt;&gt;1),1,0))</x:f>
        <x:v>0</x:v>
      </x:c>
      <x:c r="R290" s="1"/>
      <x:c r="S290" s="1"/>
      <x:c r="T290" s="1"/>
      <x:c r="U290" s="1"/>
      <x:c r="V290" s="1"/>
      <x:c r="W290" s="1"/>
    </x:row>
    <x:row r="291" ht="32" customHeight="1">
      <x:c r="A291" s="170"/>
      <x:c r="B291" s="179"/>
      <x:c r="C291" s="170"/>
      <x:c r="D291" s="170"/>
      <x:c r="E291" s="40" t="str">
        <x:f>IF($D291="","",IFERROR(INDEX(Lotes!$B$5:$B$204,MATCH($D291,Lotes!$A$5:$A$204,0)),""))</x:f>
      </x:c>
      <x:c r="F291" s="40" t="str">
        <x:f>IF($D291="","",IFERROR(INDEX(Lotes!$C$5:$C$204,MATCH($D291,Lotes!$A$5:$A$204,0)),""))</x:f>
      </x:c>
      <x:c r="G291" s="27"/>
      <x:c r="H291" s="40" t="str">
        <x:f>IF(A291="","",IF(O291&lt;&gt;"","n.a.",IF(OR(C291="Saída",C291="Perda",C291="Ajuste negativo"),-G291,G291)))</x:f>
      </x:c>
      <x:c r="I291" s="181" t="str">
        <x:f>IF($D291="","",IFERROR(INDEX(Lotes!$K$5:$K$204,MATCH($D291,Lotes!$A$5:$A$204,0)),0))</x:f>
      </x:c>
      <x:c r="J291" s="181" t="str">
        <x:f>IF(A291="","",IF(O291&lt;&gt;"","n.a.",ABS(H291)*I291))</x:f>
      </x:c>
      <x:c r="K291" s="27"/>
      <x:c r="L291" s="27"/>
      <x:c r="M291" s="27"/>
      <x:c r="N291" s="27"/>
      <x:c r="O291" s="163" t="str">
        <x:f>IF(COUNTA(A291:D291,G291,K291:N291)=0,"",IF(OR(A291="",COUNTIFS($A$5:$A$304,A291)&lt;&gt;1),"ID ausente ou duplicado",IF(OR(NOT(ISNUMBER(B291)),B291&lt;=0),"Data ausente ou inválida",IF(AND(C291&lt;&gt;"Entrada",C291&lt;&gt;"Saída",C291&lt;&gt;"Perda",C291&lt;&gt;"Ajuste positivo",C291&lt;&gt;"Ajuste negativo"),"Tipo de movimento inválido",IF(OR(D291="",COUNTIFS(Lotes!$A$5:$A$204,D291)&lt;&gt;1),"Lote ausente ou desconhecido",IF(COUNTIFS(Lotes!$A$5:$A$204,D291,Lotes!$S$5:$S$204,"?*")&gt;0,"Revisar cadastro do lote",IF(B291&lt;INDEX(Lotes!$E$5:$E$204,MATCH(D291,Lotes!$A$5:$A$204,0)),"Movimento anterior ao recebimento",IF(OR(NOT(ISNUMBER(G291)),G291&lt;=0),"Quantidade ausente ou inválida",""))))))))</x:f>
      </x:c>
      <x:c r="P291" s="163" t="n">
        <x:f>IF(O291="",0,1)</x:f>
        <x:v>0</x:v>
      </x:c>
      <x:c r="Q291" s="163" t="n">
        <x:f>IF(COUNTA(A291:D291,G291,K291:N291)=0,0,IF(OR(Listas!$B$19="Todos",E291=Listas!$B$19,E291="",COUNTIFS(Lotes!$A$5:$A$204,D291)&lt;&gt;1),1,0))</x:f>
        <x:v>0</x:v>
      </x:c>
      <x:c r="R291" s="1"/>
      <x:c r="S291" s="1"/>
      <x:c r="T291" s="1"/>
      <x:c r="U291" s="1"/>
      <x:c r="V291" s="1"/>
      <x:c r="W291" s="1"/>
    </x:row>
    <x:row r="292" ht="32" customHeight="1">
      <x:c r="A292" s="170"/>
      <x:c r="B292" s="179"/>
      <x:c r="C292" s="170"/>
      <x:c r="D292" s="170"/>
      <x:c r="E292" s="40" t="str">
        <x:f>IF($D292="","",IFERROR(INDEX(Lotes!$B$5:$B$204,MATCH($D292,Lotes!$A$5:$A$204,0)),""))</x:f>
      </x:c>
      <x:c r="F292" s="40" t="str">
        <x:f>IF($D292="","",IFERROR(INDEX(Lotes!$C$5:$C$204,MATCH($D292,Lotes!$A$5:$A$204,0)),""))</x:f>
      </x:c>
      <x:c r="G292" s="27"/>
      <x:c r="H292" s="40" t="str">
        <x:f>IF(A292="","",IF(O292&lt;&gt;"","n.a.",IF(OR(C292="Saída",C292="Perda",C292="Ajuste negativo"),-G292,G292)))</x:f>
      </x:c>
      <x:c r="I292" s="181" t="str">
        <x:f>IF($D292="","",IFERROR(INDEX(Lotes!$K$5:$K$204,MATCH($D292,Lotes!$A$5:$A$204,0)),0))</x:f>
      </x:c>
      <x:c r="J292" s="181" t="str">
        <x:f>IF(A292="","",IF(O292&lt;&gt;"","n.a.",ABS(H292)*I292))</x:f>
      </x:c>
      <x:c r="K292" s="27"/>
      <x:c r="L292" s="27"/>
      <x:c r="M292" s="27"/>
      <x:c r="N292" s="27"/>
      <x:c r="O292" s="163" t="str">
        <x:f>IF(COUNTA(A292:D292,G292,K292:N292)=0,"",IF(OR(A292="",COUNTIFS($A$5:$A$304,A292)&lt;&gt;1),"ID ausente ou duplicado",IF(OR(NOT(ISNUMBER(B292)),B292&lt;=0),"Data ausente ou inválida",IF(AND(C292&lt;&gt;"Entrada",C292&lt;&gt;"Saída",C292&lt;&gt;"Perda",C292&lt;&gt;"Ajuste positivo",C292&lt;&gt;"Ajuste negativo"),"Tipo de movimento inválido",IF(OR(D292="",COUNTIFS(Lotes!$A$5:$A$204,D292)&lt;&gt;1),"Lote ausente ou desconhecido",IF(COUNTIFS(Lotes!$A$5:$A$204,D292,Lotes!$S$5:$S$204,"?*")&gt;0,"Revisar cadastro do lote",IF(B292&lt;INDEX(Lotes!$E$5:$E$204,MATCH(D292,Lotes!$A$5:$A$204,0)),"Movimento anterior ao recebimento",IF(OR(NOT(ISNUMBER(G292)),G292&lt;=0),"Quantidade ausente ou inválida",""))))))))</x:f>
      </x:c>
      <x:c r="P292" s="163" t="n">
        <x:f>IF(O292="",0,1)</x:f>
        <x:v>0</x:v>
      </x:c>
      <x:c r="Q292" s="163" t="n">
        <x:f>IF(COUNTA(A292:D292,G292,K292:N292)=0,0,IF(OR(Listas!$B$19="Todos",E292=Listas!$B$19,E292="",COUNTIFS(Lotes!$A$5:$A$204,D292)&lt;&gt;1),1,0))</x:f>
        <x:v>0</x:v>
      </x:c>
      <x:c r="R292" s="1"/>
      <x:c r="S292" s="1"/>
      <x:c r="T292" s="1"/>
      <x:c r="U292" s="1"/>
      <x:c r="V292" s="1"/>
      <x:c r="W292" s="1"/>
    </x:row>
    <x:row r="293" ht="32" customHeight="1">
      <x:c r="A293" s="170"/>
      <x:c r="B293" s="179"/>
      <x:c r="C293" s="170"/>
      <x:c r="D293" s="170"/>
      <x:c r="E293" s="40" t="str">
        <x:f>IF($D293="","",IFERROR(INDEX(Lotes!$B$5:$B$204,MATCH($D293,Lotes!$A$5:$A$204,0)),""))</x:f>
      </x:c>
      <x:c r="F293" s="40" t="str">
        <x:f>IF($D293="","",IFERROR(INDEX(Lotes!$C$5:$C$204,MATCH($D293,Lotes!$A$5:$A$204,0)),""))</x:f>
      </x:c>
      <x:c r="G293" s="27"/>
      <x:c r="H293" s="40" t="str">
        <x:f>IF(A293="","",IF(O293&lt;&gt;"","n.a.",IF(OR(C293="Saída",C293="Perda",C293="Ajuste negativo"),-G293,G293)))</x:f>
      </x:c>
      <x:c r="I293" s="181" t="str">
        <x:f>IF($D293="","",IFERROR(INDEX(Lotes!$K$5:$K$204,MATCH($D293,Lotes!$A$5:$A$204,0)),0))</x:f>
      </x:c>
      <x:c r="J293" s="181" t="str">
        <x:f>IF(A293="","",IF(O293&lt;&gt;"","n.a.",ABS(H293)*I293))</x:f>
      </x:c>
      <x:c r="K293" s="27"/>
      <x:c r="L293" s="27"/>
      <x:c r="M293" s="27"/>
      <x:c r="N293" s="27"/>
      <x:c r="O293" s="163" t="str">
        <x:f>IF(COUNTA(A293:D293,G293,K293:N293)=0,"",IF(OR(A293="",COUNTIFS($A$5:$A$304,A293)&lt;&gt;1),"ID ausente ou duplicado",IF(OR(NOT(ISNUMBER(B293)),B293&lt;=0),"Data ausente ou inválida",IF(AND(C293&lt;&gt;"Entrada",C293&lt;&gt;"Saída",C293&lt;&gt;"Perda",C293&lt;&gt;"Ajuste positivo",C293&lt;&gt;"Ajuste negativo"),"Tipo de movimento inválido",IF(OR(D293="",COUNTIFS(Lotes!$A$5:$A$204,D293)&lt;&gt;1),"Lote ausente ou desconhecido",IF(COUNTIFS(Lotes!$A$5:$A$204,D293,Lotes!$S$5:$S$204,"?*")&gt;0,"Revisar cadastro do lote",IF(B293&lt;INDEX(Lotes!$E$5:$E$204,MATCH(D293,Lotes!$A$5:$A$204,0)),"Movimento anterior ao recebimento",IF(OR(NOT(ISNUMBER(G293)),G293&lt;=0),"Quantidade ausente ou inválida",""))))))))</x:f>
      </x:c>
      <x:c r="P293" s="163" t="n">
        <x:f>IF(O293="",0,1)</x:f>
        <x:v>0</x:v>
      </x:c>
      <x:c r="Q293" s="163" t="n">
        <x:f>IF(COUNTA(A293:D293,G293,K293:N293)=0,0,IF(OR(Listas!$B$19="Todos",E293=Listas!$B$19,E293="",COUNTIFS(Lotes!$A$5:$A$204,D293)&lt;&gt;1),1,0))</x:f>
        <x:v>0</x:v>
      </x:c>
      <x:c r="R293" s="1"/>
      <x:c r="S293" s="1"/>
      <x:c r="T293" s="1"/>
      <x:c r="U293" s="1"/>
      <x:c r="V293" s="1"/>
      <x:c r="W293" s="1"/>
    </x:row>
    <x:row r="294" ht="32" customHeight="1">
      <x:c r="A294" s="170"/>
      <x:c r="B294" s="179"/>
      <x:c r="C294" s="170"/>
      <x:c r="D294" s="170"/>
      <x:c r="E294" s="40" t="str">
        <x:f>IF($D294="","",IFERROR(INDEX(Lotes!$B$5:$B$204,MATCH($D294,Lotes!$A$5:$A$204,0)),""))</x:f>
      </x:c>
      <x:c r="F294" s="40" t="str">
        <x:f>IF($D294="","",IFERROR(INDEX(Lotes!$C$5:$C$204,MATCH($D294,Lotes!$A$5:$A$204,0)),""))</x:f>
      </x:c>
      <x:c r="G294" s="27"/>
      <x:c r="H294" s="40" t="str">
        <x:f>IF(A294="","",IF(O294&lt;&gt;"","n.a.",IF(OR(C294="Saída",C294="Perda",C294="Ajuste negativo"),-G294,G294)))</x:f>
      </x:c>
      <x:c r="I294" s="181" t="str">
        <x:f>IF($D294="","",IFERROR(INDEX(Lotes!$K$5:$K$204,MATCH($D294,Lotes!$A$5:$A$204,0)),0))</x:f>
      </x:c>
      <x:c r="J294" s="181" t="str">
        <x:f>IF(A294="","",IF(O294&lt;&gt;"","n.a.",ABS(H294)*I294))</x:f>
      </x:c>
      <x:c r="K294" s="27"/>
      <x:c r="L294" s="27"/>
      <x:c r="M294" s="27"/>
      <x:c r="N294" s="27"/>
      <x:c r="O294" s="163" t="str">
        <x:f>IF(COUNTA(A294:D294,G294,K294:N294)=0,"",IF(OR(A294="",COUNTIFS($A$5:$A$304,A294)&lt;&gt;1),"ID ausente ou duplicado",IF(OR(NOT(ISNUMBER(B294)),B294&lt;=0),"Data ausente ou inválida",IF(AND(C294&lt;&gt;"Entrada",C294&lt;&gt;"Saída",C294&lt;&gt;"Perda",C294&lt;&gt;"Ajuste positivo",C294&lt;&gt;"Ajuste negativo"),"Tipo de movimento inválido",IF(OR(D294="",COUNTIFS(Lotes!$A$5:$A$204,D294)&lt;&gt;1),"Lote ausente ou desconhecido",IF(COUNTIFS(Lotes!$A$5:$A$204,D294,Lotes!$S$5:$S$204,"?*")&gt;0,"Revisar cadastro do lote",IF(B294&lt;INDEX(Lotes!$E$5:$E$204,MATCH(D294,Lotes!$A$5:$A$204,0)),"Movimento anterior ao recebimento",IF(OR(NOT(ISNUMBER(G294)),G294&lt;=0),"Quantidade ausente ou inválida",""))))))))</x:f>
      </x:c>
      <x:c r="P294" s="163" t="n">
        <x:f>IF(O294="",0,1)</x:f>
        <x:v>0</x:v>
      </x:c>
      <x:c r="Q294" s="163" t="n">
        <x:f>IF(COUNTA(A294:D294,G294,K294:N294)=0,0,IF(OR(Listas!$B$19="Todos",E294=Listas!$B$19,E294="",COUNTIFS(Lotes!$A$5:$A$204,D294)&lt;&gt;1),1,0))</x:f>
        <x:v>0</x:v>
      </x:c>
      <x:c r="R294" s="1"/>
      <x:c r="S294" s="1"/>
      <x:c r="T294" s="1"/>
      <x:c r="U294" s="1"/>
      <x:c r="V294" s="1"/>
      <x:c r="W294" s="1"/>
    </x:row>
    <x:row r="295" ht="32" customHeight="1">
      <x:c r="A295" s="170"/>
      <x:c r="B295" s="179"/>
      <x:c r="C295" s="170"/>
      <x:c r="D295" s="170"/>
      <x:c r="E295" s="40" t="str">
        <x:f>IF($D295="","",IFERROR(INDEX(Lotes!$B$5:$B$204,MATCH($D295,Lotes!$A$5:$A$204,0)),""))</x:f>
      </x:c>
      <x:c r="F295" s="40" t="str">
        <x:f>IF($D295="","",IFERROR(INDEX(Lotes!$C$5:$C$204,MATCH($D295,Lotes!$A$5:$A$204,0)),""))</x:f>
      </x:c>
      <x:c r="G295" s="27"/>
      <x:c r="H295" s="40" t="str">
        <x:f>IF(A295="","",IF(O295&lt;&gt;"","n.a.",IF(OR(C295="Saída",C295="Perda",C295="Ajuste negativo"),-G295,G295)))</x:f>
      </x:c>
      <x:c r="I295" s="181" t="str">
        <x:f>IF($D295="","",IFERROR(INDEX(Lotes!$K$5:$K$204,MATCH($D295,Lotes!$A$5:$A$204,0)),0))</x:f>
      </x:c>
      <x:c r="J295" s="181" t="str">
        <x:f>IF(A295="","",IF(O295&lt;&gt;"","n.a.",ABS(H295)*I295))</x:f>
      </x:c>
      <x:c r="K295" s="27"/>
      <x:c r="L295" s="27"/>
      <x:c r="M295" s="27"/>
      <x:c r="N295" s="27"/>
      <x:c r="O295" s="163" t="str">
        <x:f>IF(COUNTA(A295:D295,G295,K295:N295)=0,"",IF(OR(A295="",COUNTIFS($A$5:$A$304,A295)&lt;&gt;1),"ID ausente ou duplicado",IF(OR(NOT(ISNUMBER(B295)),B295&lt;=0),"Data ausente ou inválida",IF(AND(C295&lt;&gt;"Entrada",C295&lt;&gt;"Saída",C295&lt;&gt;"Perda",C295&lt;&gt;"Ajuste positivo",C295&lt;&gt;"Ajuste negativo"),"Tipo de movimento inválido",IF(OR(D295="",COUNTIFS(Lotes!$A$5:$A$204,D295)&lt;&gt;1),"Lote ausente ou desconhecido",IF(COUNTIFS(Lotes!$A$5:$A$204,D295,Lotes!$S$5:$S$204,"?*")&gt;0,"Revisar cadastro do lote",IF(B295&lt;INDEX(Lotes!$E$5:$E$204,MATCH(D295,Lotes!$A$5:$A$204,0)),"Movimento anterior ao recebimento",IF(OR(NOT(ISNUMBER(G295)),G295&lt;=0),"Quantidade ausente ou inválida",""))))))))</x:f>
      </x:c>
      <x:c r="P295" s="163" t="n">
        <x:f>IF(O295="",0,1)</x:f>
        <x:v>0</x:v>
      </x:c>
      <x:c r="Q295" s="163" t="n">
        <x:f>IF(COUNTA(A295:D295,G295,K295:N295)=0,0,IF(OR(Listas!$B$19="Todos",E295=Listas!$B$19,E295="",COUNTIFS(Lotes!$A$5:$A$204,D295)&lt;&gt;1),1,0))</x:f>
        <x:v>0</x:v>
      </x:c>
      <x:c r="R295" s="1"/>
      <x:c r="S295" s="1"/>
      <x:c r="T295" s="1"/>
      <x:c r="U295" s="1"/>
      <x:c r="V295" s="1"/>
      <x:c r="W295" s="1"/>
    </x:row>
    <x:row r="296" ht="32" customHeight="1">
      <x:c r="A296" s="170"/>
      <x:c r="B296" s="179"/>
      <x:c r="C296" s="170"/>
      <x:c r="D296" s="170"/>
      <x:c r="E296" s="40" t="str">
        <x:f>IF($D296="","",IFERROR(INDEX(Lotes!$B$5:$B$204,MATCH($D296,Lotes!$A$5:$A$204,0)),""))</x:f>
      </x:c>
      <x:c r="F296" s="40" t="str">
        <x:f>IF($D296="","",IFERROR(INDEX(Lotes!$C$5:$C$204,MATCH($D296,Lotes!$A$5:$A$204,0)),""))</x:f>
      </x:c>
      <x:c r="G296" s="27"/>
      <x:c r="H296" s="40" t="str">
        <x:f>IF(A296="","",IF(O296&lt;&gt;"","n.a.",IF(OR(C296="Saída",C296="Perda",C296="Ajuste negativo"),-G296,G296)))</x:f>
      </x:c>
      <x:c r="I296" s="181" t="str">
        <x:f>IF($D296="","",IFERROR(INDEX(Lotes!$K$5:$K$204,MATCH($D296,Lotes!$A$5:$A$204,0)),0))</x:f>
      </x:c>
      <x:c r="J296" s="181" t="str">
        <x:f>IF(A296="","",IF(O296&lt;&gt;"","n.a.",ABS(H296)*I296))</x:f>
      </x:c>
      <x:c r="K296" s="27"/>
      <x:c r="L296" s="27"/>
      <x:c r="M296" s="27"/>
      <x:c r="N296" s="27"/>
      <x:c r="O296" s="163" t="str">
        <x:f>IF(COUNTA(A296:D296,G296,K296:N296)=0,"",IF(OR(A296="",COUNTIFS($A$5:$A$304,A296)&lt;&gt;1),"ID ausente ou duplicado",IF(OR(NOT(ISNUMBER(B296)),B296&lt;=0),"Data ausente ou inválida",IF(AND(C296&lt;&gt;"Entrada",C296&lt;&gt;"Saída",C296&lt;&gt;"Perda",C296&lt;&gt;"Ajuste positivo",C296&lt;&gt;"Ajuste negativo"),"Tipo de movimento inválido",IF(OR(D296="",COUNTIFS(Lotes!$A$5:$A$204,D296)&lt;&gt;1),"Lote ausente ou desconhecido",IF(COUNTIFS(Lotes!$A$5:$A$204,D296,Lotes!$S$5:$S$204,"?*")&gt;0,"Revisar cadastro do lote",IF(B296&lt;INDEX(Lotes!$E$5:$E$204,MATCH(D296,Lotes!$A$5:$A$204,0)),"Movimento anterior ao recebimento",IF(OR(NOT(ISNUMBER(G296)),G296&lt;=0),"Quantidade ausente ou inválida",""))))))))</x:f>
      </x:c>
      <x:c r="P296" s="163" t="n">
        <x:f>IF(O296="",0,1)</x:f>
        <x:v>0</x:v>
      </x:c>
      <x:c r="Q296" s="163" t="n">
        <x:f>IF(COUNTA(A296:D296,G296,K296:N296)=0,0,IF(OR(Listas!$B$19="Todos",E296=Listas!$B$19,E296="",COUNTIFS(Lotes!$A$5:$A$204,D296)&lt;&gt;1),1,0))</x:f>
        <x:v>0</x:v>
      </x:c>
      <x:c r="R296" s="1"/>
      <x:c r="S296" s="1"/>
      <x:c r="T296" s="1"/>
      <x:c r="U296" s="1"/>
      <x:c r="V296" s="1"/>
      <x:c r="W296" s="1"/>
    </x:row>
    <x:row r="297" ht="32" customHeight="1">
      <x:c r="A297" s="170"/>
      <x:c r="B297" s="179"/>
      <x:c r="C297" s="170"/>
      <x:c r="D297" s="170"/>
      <x:c r="E297" s="40" t="str">
        <x:f>IF($D297="","",IFERROR(INDEX(Lotes!$B$5:$B$204,MATCH($D297,Lotes!$A$5:$A$204,0)),""))</x:f>
      </x:c>
      <x:c r="F297" s="40" t="str">
        <x:f>IF($D297="","",IFERROR(INDEX(Lotes!$C$5:$C$204,MATCH($D297,Lotes!$A$5:$A$204,0)),""))</x:f>
      </x:c>
      <x:c r="G297" s="27"/>
      <x:c r="H297" s="40" t="str">
        <x:f>IF(A297="","",IF(O297&lt;&gt;"","n.a.",IF(OR(C297="Saída",C297="Perda",C297="Ajuste negativo"),-G297,G297)))</x:f>
      </x:c>
      <x:c r="I297" s="181" t="str">
        <x:f>IF($D297="","",IFERROR(INDEX(Lotes!$K$5:$K$204,MATCH($D297,Lotes!$A$5:$A$204,0)),0))</x:f>
      </x:c>
      <x:c r="J297" s="181" t="str">
        <x:f>IF(A297="","",IF(O297&lt;&gt;"","n.a.",ABS(H297)*I297))</x:f>
      </x:c>
      <x:c r="K297" s="27"/>
      <x:c r="L297" s="27"/>
      <x:c r="M297" s="27"/>
      <x:c r="N297" s="27"/>
      <x:c r="O297" s="163" t="str">
        <x:f>IF(COUNTA(A297:D297,G297,K297:N297)=0,"",IF(OR(A297="",COUNTIFS($A$5:$A$304,A297)&lt;&gt;1),"ID ausente ou duplicado",IF(OR(NOT(ISNUMBER(B297)),B297&lt;=0),"Data ausente ou inválida",IF(AND(C297&lt;&gt;"Entrada",C297&lt;&gt;"Saída",C297&lt;&gt;"Perda",C297&lt;&gt;"Ajuste positivo",C297&lt;&gt;"Ajuste negativo"),"Tipo de movimento inválido",IF(OR(D297="",COUNTIFS(Lotes!$A$5:$A$204,D297)&lt;&gt;1),"Lote ausente ou desconhecido",IF(COUNTIFS(Lotes!$A$5:$A$204,D297,Lotes!$S$5:$S$204,"?*")&gt;0,"Revisar cadastro do lote",IF(B297&lt;INDEX(Lotes!$E$5:$E$204,MATCH(D297,Lotes!$A$5:$A$204,0)),"Movimento anterior ao recebimento",IF(OR(NOT(ISNUMBER(G297)),G297&lt;=0),"Quantidade ausente ou inválida",""))))))))</x:f>
      </x:c>
      <x:c r="P297" s="163" t="n">
        <x:f>IF(O297="",0,1)</x:f>
        <x:v>0</x:v>
      </x:c>
      <x:c r="Q297" s="163" t="n">
        <x:f>IF(COUNTA(A297:D297,G297,K297:N297)=0,0,IF(OR(Listas!$B$19="Todos",E297=Listas!$B$19,E297="",COUNTIFS(Lotes!$A$5:$A$204,D297)&lt;&gt;1),1,0))</x:f>
        <x:v>0</x:v>
      </x:c>
      <x:c r="R297" s="1"/>
      <x:c r="S297" s="1"/>
      <x:c r="T297" s="1"/>
      <x:c r="U297" s="1"/>
      <x:c r="V297" s="1"/>
      <x:c r="W297" s="1"/>
    </x:row>
    <x:row r="298" ht="32" customHeight="1">
      <x:c r="A298" s="170"/>
      <x:c r="B298" s="179"/>
      <x:c r="C298" s="170"/>
      <x:c r="D298" s="170"/>
      <x:c r="E298" s="40" t="str">
        <x:f>IF($D298="","",IFERROR(INDEX(Lotes!$B$5:$B$204,MATCH($D298,Lotes!$A$5:$A$204,0)),""))</x:f>
      </x:c>
      <x:c r="F298" s="40" t="str">
        <x:f>IF($D298="","",IFERROR(INDEX(Lotes!$C$5:$C$204,MATCH($D298,Lotes!$A$5:$A$204,0)),""))</x:f>
      </x:c>
      <x:c r="G298" s="27"/>
      <x:c r="H298" s="40" t="str">
        <x:f>IF(A298="","",IF(O298&lt;&gt;"","n.a.",IF(OR(C298="Saída",C298="Perda",C298="Ajuste negativo"),-G298,G298)))</x:f>
      </x:c>
      <x:c r="I298" s="181" t="str">
        <x:f>IF($D298="","",IFERROR(INDEX(Lotes!$K$5:$K$204,MATCH($D298,Lotes!$A$5:$A$204,0)),0))</x:f>
      </x:c>
      <x:c r="J298" s="181" t="str">
        <x:f>IF(A298="","",IF(O298&lt;&gt;"","n.a.",ABS(H298)*I298))</x:f>
      </x:c>
      <x:c r="K298" s="27"/>
      <x:c r="L298" s="27"/>
      <x:c r="M298" s="27"/>
      <x:c r="N298" s="27"/>
      <x:c r="O298" s="163" t="str">
        <x:f>IF(COUNTA(A298:D298,G298,K298:N298)=0,"",IF(OR(A298="",COUNTIFS($A$5:$A$304,A298)&lt;&gt;1),"ID ausente ou duplicado",IF(OR(NOT(ISNUMBER(B298)),B298&lt;=0),"Data ausente ou inválida",IF(AND(C298&lt;&gt;"Entrada",C298&lt;&gt;"Saída",C298&lt;&gt;"Perda",C298&lt;&gt;"Ajuste positivo",C298&lt;&gt;"Ajuste negativo"),"Tipo de movimento inválido",IF(OR(D298="",COUNTIFS(Lotes!$A$5:$A$204,D298)&lt;&gt;1),"Lote ausente ou desconhecido",IF(COUNTIFS(Lotes!$A$5:$A$204,D298,Lotes!$S$5:$S$204,"?*")&gt;0,"Revisar cadastro do lote",IF(B298&lt;INDEX(Lotes!$E$5:$E$204,MATCH(D298,Lotes!$A$5:$A$204,0)),"Movimento anterior ao recebimento",IF(OR(NOT(ISNUMBER(G298)),G298&lt;=0),"Quantidade ausente ou inválida",""))))))))</x:f>
      </x:c>
      <x:c r="P298" s="163" t="n">
        <x:f>IF(O298="",0,1)</x:f>
        <x:v>0</x:v>
      </x:c>
      <x:c r="Q298" s="163" t="n">
        <x:f>IF(COUNTA(A298:D298,G298,K298:N298)=0,0,IF(OR(Listas!$B$19="Todos",E298=Listas!$B$19,E298="",COUNTIFS(Lotes!$A$5:$A$204,D298)&lt;&gt;1),1,0))</x:f>
        <x:v>0</x:v>
      </x:c>
      <x:c r="R298" s="1"/>
      <x:c r="S298" s="1"/>
      <x:c r="T298" s="1"/>
      <x:c r="U298" s="1"/>
      <x:c r="V298" s="1"/>
      <x:c r="W298" s="1"/>
    </x:row>
    <x:row r="299" ht="32" customHeight="1">
      <x:c r="A299" s="170"/>
      <x:c r="B299" s="179"/>
      <x:c r="C299" s="170"/>
      <x:c r="D299" s="170"/>
      <x:c r="E299" s="40" t="str">
        <x:f>IF($D299="","",IFERROR(INDEX(Lotes!$B$5:$B$204,MATCH($D299,Lotes!$A$5:$A$204,0)),""))</x:f>
      </x:c>
      <x:c r="F299" s="40" t="str">
        <x:f>IF($D299="","",IFERROR(INDEX(Lotes!$C$5:$C$204,MATCH($D299,Lotes!$A$5:$A$204,0)),""))</x:f>
      </x:c>
      <x:c r="G299" s="27"/>
      <x:c r="H299" s="40" t="str">
        <x:f>IF(A299="","",IF(O299&lt;&gt;"","n.a.",IF(OR(C299="Saída",C299="Perda",C299="Ajuste negativo"),-G299,G299)))</x:f>
      </x:c>
      <x:c r="I299" s="181" t="str">
        <x:f>IF($D299="","",IFERROR(INDEX(Lotes!$K$5:$K$204,MATCH($D299,Lotes!$A$5:$A$204,0)),0))</x:f>
      </x:c>
      <x:c r="J299" s="181" t="str">
        <x:f>IF(A299="","",IF(O299&lt;&gt;"","n.a.",ABS(H299)*I299))</x:f>
      </x:c>
      <x:c r="K299" s="27"/>
      <x:c r="L299" s="27"/>
      <x:c r="M299" s="27"/>
      <x:c r="N299" s="27"/>
      <x:c r="O299" s="163" t="str">
        <x:f>IF(COUNTA(A299:D299,G299,K299:N299)=0,"",IF(OR(A299="",COUNTIFS($A$5:$A$304,A299)&lt;&gt;1),"ID ausente ou duplicado",IF(OR(NOT(ISNUMBER(B299)),B299&lt;=0),"Data ausente ou inválida",IF(AND(C299&lt;&gt;"Entrada",C299&lt;&gt;"Saída",C299&lt;&gt;"Perda",C299&lt;&gt;"Ajuste positivo",C299&lt;&gt;"Ajuste negativo"),"Tipo de movimento inválido",IF(OR(D299="",COUNTIFS(Lotes!$A$5:$A$204,D299)&lt;&gt;1),"Lote ausente ou desconhecido",IF(COUNTIFS(Lotes!$A$5:$A$204,D299,Lotes!$S$5:$S$204,"?*")&gt;0,"Revisar cadastro do lote",IF(B299&lt;INDEX(Lotes!$E$5:$E$204,MATCH(D299,Lotes!$A$5:$A$204,0)),"Movimento anterior ao recebimento",IF(OR(NOT(ISNUMBER(G299)),G299&lt;=0),"Quantidade ausente ou inválida",""))))))))</x:f>
      </x:c>
      <x:c r="P299" s="163" t="n">
        <x:f>IF(O299="",0,1)</x:f>
        <x:v>0</x:v>
      </x:c>
      <x:c r="Q299" s="163" t="n">
        <x:f>IF(COUNTA(A299:D299,G299,K299:N299)=0,0,IF(OR(Listas!$B$19="Todos",E299=Listas!$B$19,E299="",COUNTIFS(Lotes!$A$5:$A$204,D299)&lt;&gt;1),1,0))</x:f>
        <x:v>0</x:v>
      </x:c>
      <x:c r="R299" s="1"/>
      <x:c r="S299" s="1"/>
      <x:c r="T299" s="1"/>
      <x:c r="U299" s="1"/>
      <x:c r="V299" s="1"/>
      <x:c r="W299" s="1"/>
    </x:row>
    <x:row r="300" ht="32" customHeight="1">
      <x:c r="A300" s="170"/>
      <x:c r="B300" s="179"/>
      <x:c r="C300" s="170"/>
      <x:c r="D300" s="170"/>
      <x:c r="E300" s="40" t="str">
        <x:f>IF($D300="","",IFERROR(INDEX(Lotes!$B$5:$B$204,MATCH($D300,Lotes!$A$5:$A$204,0)),""))</x:f>
      </x:c>
      <x:c r="F300" s="40" t="str">
        <x:f>IF($D300="","",IFERROR(INDEX(Lotes!$C$5:$C$204,MATCH($D300,Lotes!$A$5:$A$204,0)),""))</x:f>
      </x:c>
      <x:c r="G300" s="27"/>
      <x:c r="H300" s="40" t="str">
        <x:f>IF(A300="","",IF(O300&lt;&gt;"","n.a.",IF(OR(C300="Saída",C300="Perda",C300="Ajuste negativo"),-G300,G300)))</x:f>
      </x:c>
      <x:c r="I300" s="181" t="str">
        <x:f>IF($D300="","",IFERROR(INDEX(Lotes!$K$5:$K$204,MATCH($D300,Lotes!$A$5:$A$204,0)),0))</x:f>
      </x:c>
      <x:c r="J300" s="181" t="str">
        <x:f>IF(A300="","",IF(O300&lt;&gt;"","n.a.",ABS(H300)*I300))</x:f>
      </x:c>
      <x:c r="K300" s="27"/>
      <x:c r="L300" s="27"/>
      <x:c r="M300" s="27"/>
      <x:c r="N300" s="27"/>
      <x:c r="O300" s="163" t="str">
        <x:f>IF(COUNTA(A300:D300,G300,K300:N300)=0,"",IF(OR(A300="",COUNTIFS($A$5:$A$304,A300)&lt;&gt;1),"ID ausente ou duplicado",IF(OR(NOT(ISNUMBER(B300)),B300&lt;=0),"Data ausente ou inválida",IF(AND(C300&lt;&gt;"Entrada",C300&lt;&gt;"Saída",C300&lt;&gt;"Perda",C300&lt;&gt;"Ajuste positivo",C300&lt;&gt;"Ajuste negativo"),"Tipo de movimento inválido",IF(OR(D300="",COUNTIFS(Lotes!$A$5:$A$204,D300)&lt;&gt;1),"Lote ausente ou desconhecido",IF(COUNTIFS(Lotes!$A$5:$A$204,D300,Lotes!$S$5:$S$204,"?*")&gt;0,"Revisar cadastro do lote",IF(B300&lt;INDEX(Lotes!$E$5:$E$204,MATCH(D300,Lotes!$A$5:$A$204,0)),"Movimento anterior ao recebimento",IF(OR(NOT(ISNUMBER(G300)),G300&lt;=0),"Quantidade ausente ou inválida",""))))))))</x:f>
      </x:c>
      <x:c r="P300" s="163" t="n">
        <x:f>IF(O300="",0,1)</x:f>
        <x:v>0</x:v>
      </x:c>
      <x:c r="Q300" s="163" t="n">
        <x:f>IF(COUNTA(A300:D300,G300,K300:N300)=0,0,IF(OR(Listas!$B$19="Todos",E300=Listas!$B$19,E300="",COUNTIFS(Lotes!$A$5:$A$204,D300)&lt;&gt;1),1,0))</x:f>
        <x:v>0</x:v>
      </x:c>
      <x:c r="R300" s="1"/>
      <x:c r="S300" s="1"/>
      <x:c r="T300" s="1"/>
      <x:c r="U300" s="1"/>
      <x:c r="V300" s="1"/>
      <x:c r="W300" s="1"/>
    </x:row>
    <x:row r="301" ht="32" customHeight="1">
      <x:c r="A301" s="170"/>
      <x:c r="B301" s="179"/>
      <x:c r="C301" s="170"/>
      <x:c r="D301" s="170"/>
      <x:c r="E301" s="40" t="str">
        <x:f>IF($D301="","",IFERROR(INDEX(Lotes!$B$5:$B$204,MATCH($D301,Lotes!$A$5:$A$204,0)),""))</x:f>
      </x:c>
      <x:c r="F301" s="40" t="str">
        <x:f>IF($D301="","",IFERROR(INDEX(Lotes!$C$5:$C$204,MATCH($D301,Lotes!$A$5:$A$204,0)),""))</x:f>
      </x:c>
      <x:c r="G301" s="27"/>
      <x:c r="H301" s="40" t="str">
        <x:f>IF(A301="","",IF(O301&lt;&gt;"","n.a.",IF(OR(C301="Saída",C301="Perda",C301="Ajuste negativo"),-G301,G301)))</x:f>
      </x:c>
      <x:c r="I301" s="181" t="str">
        <x:f>IF($D301="","",IFERROR(INDEX(Lotes!$K$5:$K$204,MATCH($D301,Lotes!$A$5:$A$204,0)),0))</x:f>
      </x:c>
      <x:c r="J301" s="181" t="str">
        <x:f>IF(A301="","",IF(O301&lt;&gt;"","n.a.",ABS(H301)*I301))</x:f>
      </x:c>
      <x:c r="K301" s="27"/>
      <x:c r="L301" s="27"/>
      <x:c r="M301" s="27"/>
      <x:c r="N301" s="27"/>
      <x:c r="O301" s="163" t="str">
        <x:f>IF(COUNTA(A301:D301,G301,K301:N301)=0,"",IF(OR(A301="",COUNTIFS($A$5:$A$304,A301)&lt;&gt;1),"ID ausente ou duplicado",IF(OR(NOT(ISNUMBER(B301)),B301&lt;=0),"Data ausente ou inválida",IF(AND(C301&lt;&gt;"Entrada",C301&lt;&gt;"Saída",C301&lt;&gt;"Perda",C301&lt;&gt;"Ajuste positivo",C301&lt;&gt;"Ajuste negativo"),"Tipo de movimento inválido",IF(OR(D301="",COUNTIFS(Lotes!$A$5:$A$204,D301)&lt;&gt;1),"Lote ausente ou desconhecido",IF(COUNTIFS(Lotes!$A$5:$A$204,D301,Lotes!$S$5:$S$204,"?*")&gt;0,"Revisar cadastro do lote",IF(B301&lt;INDEX(Lotes!$E$5:$E$204,MATCH(D301,Lotes!$A$5:$A$204,0)),"Movimento anterior ao recebimento",IF(OR(NOT(ISNUMBER(G301)),G301&lt;=0),"Quantidade ausente ou inválida",""))))))))</x:f>
      </x:c>
      <x:c r="P301" s="163" t="n">
        <x:f>IF(O301="",0,1)</x:f>
        <x:v>0</x:v>
      </x:c>
      <x:c r="Q301" s="163" t="n">
        <x:f>IF(COUNTA(A301:D301,G301,K301:N301)=0,0,IF(OR(Listas!$B$19="Todos",E301=Listas!$B$19,E301="",COUNTIFS(Lotes!$A$5:$A$204,D301)&lt;&gt;1),1,0))</x:f>
        <x:v>0</x:v>
      </x:c>
      <x:c r="R301" s="1"/>
      <x:c r="S301" s="1"/>
      <x:c r="T301" s="1"/>
      <x:c r="U301" s="1"/>
      <x:c r="V301" s="1"/>
      <x:c r="W301" s="1"/>
    </x:row>
    <x:row r="302" ht="32" customHeight="1">
      <x:c r="A302" s="170"/>
      <x:c r="B302" s="179"/>
      <x:c r="C302" s="170"/>
      <x:c r="D302" s="170"/>
      <x:c r="E302" s="40" t="str">
        <x:f>IF($D302="","",IFERROR(INDEX(Lotes!$B$5:$B$204,MATCH($D302,Lotes!$A$5:$A$204,0)),""))</x:f>
      </x:c>
      <x:c r="F302" s="40" t="str">
        <x:f>IF($D302="","",IFERROR(INDEX(Lotes!$C$5:$C$204,MATCH($D302,Lotes!$A$5:$A$204,0)),""))</x:f>
      </x:c>
      <x:c r="G302" s="27"/>
      <x:c r="H302" s="40" t="str">
        <x:f>IF(A302="","",IF(O302&lt;&gt;"","n.a.",IF(OR(C302="Saída",C302="Perda",C302="Ajuste negativo"),-G302,G302)))</x:f>
      </x:c>
      <x:c r="I302" s="181" t="str">
        <x:f>IF($D302="","",IFERROR(INDEX(Lotes!$K$5:$K$204,MATCH($D302,Lotes!$A$5:$A$204,0)),0))</x:f>
      </x:c>
      <x:c r="J302" s="181" t="str">
        <x:f>IF(A302="","",IF(O302&lt;&gt;"","n.a.",ABS(H302)*I302))</x:f>
      </x:c>
      <x:c r="K302" s="27"/>
      <x:c r="L302" s="27"/>
      <x:c r="M302" s="27"/>
      <x:c r="N302" s="27"/>
      <x:c r="O302" s="163" t="str">
        <x:f>IF(COUNTA(A302:D302,G302,K302:N302)=0,"",IF(OR(A302="",COUNTIFS($A$5:$A$304,A302)&lt;&gt;1),"ID ausente ou duplicado",IF(OR(NOT(ISNUMBER(B302)),B302&lt;=0),"Data ausente ou inválida",IF(AND(C302&lt;&gt;"Entrada",C302&lt;&gt;"Saída",C302&lt;&gt;"Perda",C302&lt;&gt;"Ajuste positivo",C302&lt;&gt;"Ajuste negativo"),"Tipo de movimento inválido",IF(OR(D302="",COUNTIFS(Lotes!$A$5:$A$204,D302)&lt;&gt;1),"Lote ausente ou desconhecido",IF(COUNTIFS(Lotes!$A$5:$A$204,D302,Lotes!$S$5:$S$204,"?*")&gt;0,"Revisar cadastro do lote",IF(B302&lt;INDEX(Lotes!$E$5:$E$204,MATCH(D302,Lotes!$A$5:$A$204,0)),"Movimento anterior ao recebimento",IF(OR(NOT(ISNUMBER(G302)),G302&lt;=0),"Quantidade ausente ou inválida",""))))))))</x:f>
      </x:c>
      <x:c r="P302" s="163" t="n">
        <x:f>IF(O302="",0,1)</x:f>
        <x:v>0</x:v>
      </x:c>
      <x:c r="Q302" s="163" t="n">
        <x:f>IF(COUNTA(A302:D302,G302,K302:N302)=0,0,IF(OR(Listas!$B$19="Todos",E302=Listas!$B$19,E302="",COUNTIFS(Lotes!$A$5:$A$204,D302)&lt;&gt;1),1,0))</x:f>
        <x:v>0</x:v>
      </x:c>
      <x:c r="R302" s="1"/>
      <x:c r="S302" s="1"/>
      <x:c r="T302" s="1"/>
      <x:c r="U302" s="1"/>
      <x:c r="V302" s="1"/>
      <x:c r="W302" s="1"/>
    </x:row>
    <x:row r="303" ht="32" customHeight="1">
      <x:c r="A303" s="170"/>
      <x:c r="B303" s="179"/>
      <x:c r="C303" s="170"/>
      <x:c r="D303" s="170"/>
      <x:c r="E303" s="40" t="str">
        <x:f>IF($D303="","",IFERROR(INDEX(Lotes!$B$5:$B$204,MATCH($D303,Lotes!$A$5:$A$204,0)),""))</x:f>
      </x:c>
      <x:c r="F303" s="40" t="str">
        <x:f>IF($D303="","",IFERROR(INDEX(Lotes!$C$5:$C$204,MATCH($D303,Lotes!$A$5:$A$204,0)),""))</x:f>
      </x:c>
      <x:c r="G303" s="27"/>
      <x:c r="H303" s="40" t="str">
        <x:f>IF(A303="","",IF(O303&lt;&gt;"","n.a.",IF(OR(C303="Saída",C303="Perda",C303="Ajuste negativo"),-G303,G303)))</x:f>
      </x:c>
      <x:c r="I303" s="181" t="str">
        <x:f>IF($D303="","",IFERROR(INDEX(Lotes!$K$5:$K$204,MATCH($D303,Lotes!$A$5:$A$204,0)),0))</x:f>
      </x:c>
      <x:c r="J303" s="181" t="str">
        <x:f>IF(A303="","",IF(O303&lt;&gt;"","n.a.",ABS(H303)*I303))</x:f>
      </x:c>
      <x:c r="K303" s="27"/>
      <x:c r="L303" s="27"/>
      <x:c r="M303" s="27"/>
      <x:c r="N303" s="27"/>
      <x:c r="O303" s="163" t="str">
        <x:f>IF(COUNTA(A303:D303,G303,K303:N303)=0,"",IF(OR(A303="",COUNTIFS($A$5:$A$304,A303)&lt;&gt;1),"ID ausente ou duplicado",IF(OR(NOT(ISNUMBER(B303)),B303&lt;=0),"Data ausente ou inválida",IF(AND(C303&lt;&gt;"Entrada",C303&lt;&gt;"Saída",C303&lt;&gt;"Perda",C303&lt;&gt;"Ajuste positivo",C303&lt;&gt;"Ajuste negativo"),"Tipo de movimento inválido",IF(OR(D303="",COUNTIFS(Lotes!$A$5:$A$204,D303)&lt;&gt;1),"Lote ausente ou desconhecido",IF(COUNTIFS(Lotes!$A$5:$A$204,D303,Lotes!$S$5:$S$204,"?*")&gt;0,"Revisar cadastro do lote",IF(B303&lt;INDEX(Lotes!$E$5:$E$204,MATCH(D303,Lotes!$A$5:$A$204,0)),"Movimento anterior ao recebimento",IF(OR(NOT(ISNUMBER(G303)),G303&lt;=0),"Quantidade ausente ou inválida",""))))))))</x:f>
      </x:c>
      <x:c r="P303" s="163" t="n">
        <x:f>IF(O303="",0,1)</x:f>
        <x:v>0</x:v>
      </x:c>
      <x:c r="Q303" s="163" t="n">
        <x:f>IF(COUNTA(A303:D303,G303,K303:N303)=0,0,IF(OR(Listas!$B$19="Todos",E303=Listas!$B$19,E303="",COUNTIFS(Lotes!$A$5:$A$204,D303)&lt;&gt;1),1,0))</x:f>
        <x:v>0</x:v>
      </x:c>
      <x:c r="R303" s="1"/>
      <x:c r="S303" s="1"/>
      <x:c r="T303" s="1"/>
      <x:c r="U303" s="1"/>
      <x:c r="V303" s="1"/>
      <x:c r="W303" s="1"/>
    </x:row>
    <x:row r="304" ht="32" customHeight="1">
      <x:c r="A304" s="170"/>
      <x:c r="B304" s="179"/>
      <x:c r="C304" s="170"/>
      <x:c r="D304" s="170"/>
      <x:c r="E304" s="40" t="str">
        <x:f>IF($D304="","",IFERROR(INDEX(Lotes!$B$5:$B$204,MATCH($D304,Lotes!$A$5:$A$204,0)),""))</x:f>
      </x:c>
      <x:c r="F304" s="40" t="str">
        <x:f>IF($D304="","",IFERROR(INDEX(Lotes!$C$5:$C$204,MATCH($D304,Lotes!$A$5:$A$204,0)),""))</x:f>
      </x:c>
      <x:c r="G304" s="27"/>
      <x:c r="H304" s="40" t="str">
        <x:f>IF(A304="","",IF(O304&lt;&gt;"","n.a.",IF(OR(C304="Saída",C304="Perda",C304="Ajuste negativo"),-G304,G304)))</x:f>
      </x:c>
      <x:c r="I304" s="181" t="str">
        <x:f>IF($D304="","",IFERROR(INDEX(Lotes!$K$5:$K$204,MATCH($D304,Lotes!$A$5:$A$204,0)),0))</x:f>
      </x:c>
      <x:c r="J304" s="181" t="str">
        <x:f>IF(A304="","",IF(O304&lt;&gt;"","n.a.",ABS(H304)*I304))</x:f>
      </x:c>
      <x:c r="K304" s="27"/>
      <x:c r="L304" s="27"/>
      <x:c r="M304" s="27"/>
      <x:c r="N304" s="27"/>
      <x:c r="O304" s="163" t="str">
        <x:f>IF(COUNTA(A304:D304,G304,K304:N304)=0,"",IF(OR(A304="",COUNTIFS($A$5:$A$304,A304)&lt;&gt;1),"ID ausente ou duplicado",IF(OR(NOT(ISNUMBER(B304)),B304&lt;=0),"Data ausente ou inválida",IF(AND(C304&lt;&gt;"Entrada",C304&lt;&gt;"Saída",C304&lt;&gt;"Perda",C304&lt;&gt;"Ajuste positivo",C304&lt;&gt;"Ajuste negativo"),"Tipo de movimento inválido",IF(OR(D304="",COUNTIFS(Lotes!$A$5:$A$204,D304)&lt;&gt;1),"Lote ausente ou desconhecido",IF(COUNTIFS(Lotes!$A$5:$A$204,D304,Lotes!$S$5:$S$204,"?*")&gt;0,"Revisar cadastro do lote",IF(B304&lt;INDEX(Lotes!$E$5:$E$204,MATCH(D304,Lotes!$A$5:$A$204,0)),"Movimento anterior ao recebimento",IF(OR(NOT(ISNUMBER(G304)),G304&lt;=0),"Quantidade ausente ou inválida",""))))))))</x:f>
      </x:c>
      <x:c r="P304" s="163" t="n">
        <x:f>IF(O304="",0,1)</x:f>
        <x:v>0</x:v>
      </x:c>
      <x:c r="Q304" s="163" t="n">
        <x:f>IF(COUNTA(A304:D304,G304,K304:N304)=0,0,IF(OR(Listas!$B$19="Todos",E304=Listas!$B$19,E304="",COUNTIFS(Lotes!$A$5:$A$204,D304)&lt;&gt;1),1,0))</x:f>
        <x:v>0</x:v>
      </x:c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N1"/>
    <x:mergeCell ref="A2:N2"/>
  </x:mergeCells>
  <x:conditionalFormatting sqref="O5:O304">
    <x:cfRule type="expression" dxfId="13" priority="1">
      <x:formula>O5&lt;&gt;""</x:formula>
    </x:cfRule>
  </x:conditionalFormatting>
  <x:dataValidations count="4">
    <x:dataValidation type="list" sqref="C5:C304">
      <x:formula1>Listas!$I$6:$I$10</x:formula1>
    </x:dataValidation>
    <x:dataValidation type="list" sqref="D5:D304">
      <x:formula1>Lotes!$A$5:$A$204</x:formula1>
    </x:dataValidation>
    <x:dataValidation type="list" sqref="K5:K304">
      <x:formula1>Listas!$J$6:$J$13</x:formula1>
    </x:dataValidation>
    <x:dataValidation type="list" sqref="M5:M304">
      <x:formula1>Listas!$K$6:$K$10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65fc1ac34d493f"/>
  </x:tableParts>
</x:worksheet>
</file>

<file path=xl/worksheets/sheet5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31" hidden="0" customWidth="1"/>
    <x:col min="2" max="2" width="23" hidden="0" customWidth="1"/>
    <x:col min="3" max="3" width="39" hidden="0" customWidth="1"/>
    <x:col min="4" max="4" width="4" hidden="0" customWidth="1"/>
    <x:col min="5" max="5" width="23" hidden="0" customWidth="1"/>
    <x:col min="6" max="6" width="16" hidden="0" customWidth="1"/>
    <x:col min="7" max="7" width="19" hidden="0" customWidth="1"/>
    <x:col min="8" max="8" width="20" hidden="0" customWidth="1"/>
    <x:col min="9" max="9" width="22" hidden="0" customWidth="1"/>
    <x:col min="10" max="10" width="22" hidden="0" customWidth="1"/>
    <x:col min="11" max="11" width="22" hidden="0" customWidth="1"/>
    <x:col min="12" max="12" width="15" hidden="0" customWidth="1"/>
    <x:col min="13" max="13" width="22" hidden="0" customWidth="1"/>
  </x:cols>
  <x:sheetData>
    <x:row r="1" ht="34" customHeight="1">
      <x:c r="A1" s="4" t="str">
        <x:v>LISTAS E PARÂMETROS</x:v>
      </x:c>
      <x:c r="B1" s="4" t="str">
        <x:v>LISTAS E PARÂMETROS</x:v>
      </x:c>
      <x:c r="C1" s="4" t="str">
        <x:v>LISTAS E PARÂMETROS</x:v>
      </x:c>
      <x:c r="D1" s="4" t="str">
        <x:v>LISTAS E PARÂMETROS</x:v>
      </x:c>
      <x:c r="E1" s="4" t="str">
        <x:v>LISTAS E PARÂMETROS</x:v>
      </x:c>
      <x:c r="F1" s="4" t="str">
        <x:v>LISTAS E PARÂMETROS</x:v>
      </x:c>
      <x:c r="G1" s="4" t="str">
        <x:v>LISTAS E PARÂMETROS</x:v>
      </x:c>
      <x:c r="H1" s="4" t="str">
        <x:v>LISTAS E PARÂMETROS</x:v>
      </x:c>
      <x:c r="I1" s="4" t="str">
        <x:v>LISTAS E PARÂMETROS</x:v>
      </x:c>
      <x:c r="J1" s="4" t="str">
        <x:v>LISTAS E PARÂMETROS</x:v>
      </x:c>
      <x:c r="K1" s="4" t="str">
        <x:v>LISTAS E PARÂMETROS</x:v>
      </x:c>
      <x:c r="L1" s="4" t="str">
        <x:v>LISTAS E PARÂMETROS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6" customHeight="1">
      <x:c r="A2" s="8" t="str">
        <x:v>Edite somente as células amarelas. A data de análise orienta vencimentos, FEFO e alertas do Dashboard.</x:v>
      </x:c>
      <x:c r="B2" s="8" t="str">
        <x:v>Edite somente as células amarelas. A data de análise orienta vencimentos, FEFO e alertas do Dashboard.</x:v>
      </x:c>
      <x:c r="C2" s="8" t="str">
        <x:v>Edite somente as células amarelas. A data de análise orienta vencimentos, FEFO e alertas do Dashboard.</x:v>
      </x:c>
      <x:c r="D2" s="8" t="str">
        <x:v>Edite somente as células amarelas. A data de análise orienta vencimentos, FEFO e alertas do Dashboard.</x:v>
      </x:c>
      <x:c r="E2" s="8" t="str">
        <x:v>Edite somente as células amarelas. A data de análise orienta vencimentos, FEFO e alertas do Dashboard.</x:v>
      </x:c>
      <x:c r="F2" s="8" t="str">
        <x:v>Edite somente as células amarelas. A data de análise orienta vencimentos, FEFO e alertas do Dashboard.</x:v>
      </x:c>
      <x:c r="G2" s="8" t="str">
        <x:v>Edite somente as células amarelas. A data de análise orienta vencimentos, FEFO e alertas do Dashboard.</x:v>
      </x:c>
      <x:c r="H2" s="8" t="str">
        <x:v>Edite somente as células amarelas. A data de análise orienta vencimentos, FEFO e alertas do Dashboard.</x:v>
      </x:c>
      <x:c r="I2" s="8" t="str">
        <x:v>Edite somente as células amarelas. A data de análise orienta vencimentos, FEFO e alertas do Dashboard.</x:v>
      </x:c>
      <x:c r="J2" s="8" t="str">
        <x:v>Edite somente as células amarelas. A data de análise orienta vencimentos, FEFO e alertas do Dashboard.</x:v>
      </x:c>
      <x:c r="K2" s="8" t="str">
        <x:v>Edite somente as células amarelas. A data de análise orienta vencimentos, FEFO e alertas do Dashboard.</x:v>
      </x:c>
      <x:c r="L2" s="8" t="str">
        <x:v>Edite somente as células amarelas. A data de análise orienta vencimentos, FEFO e alertas do Dashboard.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5" customHeight="1">
      <x:c r="A4" s="10" t="str">
        <x:v>PARÂMETROS</x:v>
      </x:c>
      <x:c r="B4" s="10" t="str">
        <x:v>PARÂMETROS</x:v>
      </x:c>
      <x:c r="C4" s="10" t="str">
        <x:v>PARÂMETROS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0" t="str">
        <x:v>LISTAS DE PREENCHIMENTO</x:v>
      </x:c>
      <x:c r="J4" s="10" t="str">
        <x:v>LISTAS DE PREENCHIMENTO</x:v>
      </x:c>
      <x:c r="K4" s="10" t="str">
        <x:v>LISTAS DE PREENCHIMENTO</x:v>
      </x:c>
      <x:c r="L4" s="10" t="str">
        <x:v>LISTAS DE PREENCHIMENTO</x:v>
      </x:c>
      <x:c r="M4" s="1" t="str">
        <x:v>Todos</x:v>
      </x:c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2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Categoria</x:v>
      </x:c>
      <x:c r="F5" s="23" t="str">
        <x:v>Unidade</x:v>
      </x:c>
      <x:c r="G5" s="23" t="str">
        <x:v>Status produto</x:v>
      </x:c>
      <x:c r="H5" s="23" t="str">
        <x:v>Status lote</x:v>
      </x:c>
      <x:c r="I5" s="23" t="str">
        <x:v>Tipo movimento</x:v>
      </x:c>
      <x:c r="J5" s="23" t="str">
        <x:v>Motivo</x:v>
      </x:c>
      <x:c r="K5" s="23" t="str">
        <x:v>Responsável</x:v>
      </x:c>
      <x:c r="L5" s="24" t="str">
        <x:v>Local</x:v>
      </x:c>
      <x:c r="M5" s="1" t="str">
        <x:f>IF(Produtos!A5="","",Produtos!A5)</x:f>
        <x:v>SKU-001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Data da análise</x:v>
      </x:c>
      <x:c r="B6" s="28" t="n">
        <x:v>46294</x:v>
      </x:c>
      <x:c r="C6" s="1" t="str">
        <x:v>Base dos alertas</x:v>
      </x:c>
      <x:c r="D6" s="1"/>
      <x:c r="E6" s="1" t="str">
        <x:v>Alimentos</x:v>
      </x:c>
      <x:c r="F6" s="1" t="str">
        <x:v>un</x:v>
      </x:c>
      <x:c r="G6" s="1" t="str">
        <x:v>Ativo</x:v>
      </x:c>
      <x:c r="H6" s="1" t="str">
        <x:v>Liberado</x:v>
      </x:c>
      <x:c r="I6" s="1" t="str">
        <x:v>Entrada</x:v>
      </x:c>
      <x:c r="J6" s="1" t="str">
        <x:v>Compra</x:v>
      </x:c>
      <x:c r="K6" s="1" t="str">
        <x:v>Ana Souza</x:v>
      </x:c>
      <x:c r="L6" s="1" t="str">
        <x:v>A-01</x:v>
      </x:c>
      <x:c r="M6" s="1" t="str">
        <x:f>IF(Produtos!A6="","",Produtos!A6)</x:f>
        <x:v>SKU-002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Janela crítica (dias)</x:v>
      </x:c>
      <x:c r="B7" s="27" t="n">
        <x:v>15</x:v>
      </x:c>
      <x:c r="C7" s="1" t="str">
        <x:v>Vencimento iminente</x:v>
      </x:c>
      <x:c r="D7" s="1"/>
      <x:c r="E7" s="1" t="str">
        <x:v>Bebidas</x:v>
      </x:c>
      <x:c r="F7" s="1" t="str">
        <x:v>cx</x:v>
      </x:c>
      <x:c r="G7" s="1" t="str">
        <x:v>Inativo</x:v>
      </x:c>
      <x:c r="H7" s="1" t="str">
        <x:v>Quarentena</x:v>
      </x:c>
      <x:c r="I7" s="1" t="str">
        <x:v>Saída</x:v>
      </x:c>
      <x:c r="J7" s="1" t="str">
        <x:v>Venda</x:v>
      </x:c>
      <x:c r="K7" s="1" t="str">
        <x:v>Bruno Lima</x:v>
      </x:c>
      <x:c r="L7" s="1" t="str">
        <x:v>A-02</x:v>
      </x:c>
      <x:c r="M7" s="1" t="str">
        <x:f>IF(Produtos!A7="","",Produtos!A7)</x:f>
        <x:v>SKU-003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Janela de atenção (dias)</x:v>
      </x:c>
      <x:c r="B8" s="27" t="n">
        <x:v>30</x:v>
      </x:c>
      <x:c r="C8" s="1" t="str">
        <x:v>Planejamento de saída</x:v>
      </x:c>
      <x:c r="D8" s="1"/>
      <x:c r="E8" s="1" t="str">
        <x:v>Higiene</x:v>
      </x:c>
      <x:c r="F8" s="1" t="str">
        <x:v>kg</x:v>
      </x:c>
      <x:c r="G8" s="1"/>
      <x:c r="H8" s="1" t="str">
        <x:v>Bloqueado</x:v>
      </x:c>
      <x:c r="I8" s="1" t="str">
        <x:v>Perda</x:v>
      </x:c>
      <x:c r="J8" s="1" t="str">
        <x:v>Vencimento</x:v>
      </x:c>
      <x:c r="K8" s="1" t="str">
        <x:v>Carla Nunes</x:v>
      </x:c>
      <x:c r="L8" s="1" t="str">
        <x:v>B-01</x:v>
      </x:c>
      <x:c r="M8" s="1" t="str">
        <x:f>IF(Produtos!A8="","",Produtos!A8)</x:f>
        <x:v>SKU-004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Corte dos movimentos</x:v>
      </x:c>
      <x:c r="B9" s="201" t="str">
        <x:v>Até data da análise</x:v>
      </x:c>
      <x:c r="C9" s="1" t="str">
        <x:v>Datas futuras não compõem o saldo</x:v>
      </x:c>
      <x:c r="D9" s="1"/>
      <x:c r="E9" s="1" t="str">
        <x:v>Limpeza</x:v>
      </x:c>
      <x:c r="F9" s="1" t="str">
        <x:v>L</x:v>
      </x:c>
      <x:c r="G9" s="1"/>
      <x:c r="H9" s="1" t="str">
        <x:v>Esgotado</x:v>
      </x:c>
      <x:c r="I9" s="1" t="str">
        <x:v>Ajuste positivo</x:v>
      </x:c>
      <x:c r="J9" s="1" t="str">
        <x:v>Avaria</x:v>
      </x:c>
      <x:c r="K9" s="1" t="str">
        <x:v>Diego Reis</x:v>
      </x:c>
      <x:c r="L9" s="1" t="str">
        <x:v>B-02</x:v>
      </x:c>
      <x:c r="M9" s="1" t="str">
        <x:f>IF(Produtos!A9="","",Produtos!A9)</x:f>
        <x:v>SKU-005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 t="str">
        <x:v>Disponibilidade</x:v>
      </x:c>
      <x:c r="B10" s="201" t="str">
        <x:v>Liberado e válido</x:v>
      </x:c>
      <x:c r="C10" s="1" t="str">
        <x:v>Saldo positivo, validade não vencida</x:v>
      </x:c>
      <x:c r="D10" s="1"/>
      <x:c r="E10" s="1" t="str">
        <x:v>Saúde</x:v>
      </x:c>
      <x:c r="F10" s="1" t="str">
        <x:v>pct</x:v>
      </x:c>
      <x:c r="G10" s="1"/>
      <x:c r="H10" s="1"/>
      <x:c r="I10" s="1" t="str">
        <x:v>Ajuste negativo</x:v>
      </x:c>
      <x:c r="J10" s="1" t="str">
        <x:v>Inventário</x:v>
      </x:c>
      <x:c r="K10" s="1" t="str">
        <x:v>Elisa Rocha</x:v>
      </x:c>
      <x:c r="L10" s="1" t="str">
        <x:v>C-01</x:v>
      </x:c>
      <x:c r="M10" s="1" t="str">
        <x:f>IF(Produtos!A10="","",Produtos!A10)</x:f>
        <x:v>SKU-006</x:v>
      </x:c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 t="str">
        <x:v>Empresa / unidade</x:v>
      </x:c>
      <x:c r="B11" s="27" t="str">
        <x:v>Distribuidora Verde</x:v>
      </x:c>
      <x:c r="C11" s="1" t="str">
        <x:v>Identificação</x:v>
      </x:c>
      <x:c r="D11" s="1"/>
      <x:c r="E11" s="1" t="str">
        <x:v>Cosméticos</x:v>
      </x:c>
      <x:c r="F11" s="1" t="str">
        <x:v>fardo</x:v>
      </x:c>
      <x:c r="G11" s="1"/>
      <x:c r="H11" s="1"/>
      <x:c r="I11" s="1"/>
      <x:c r="J11" s="1" t="str">
        <x:v>Devolução</x:v>
      </x:c>
      <x:c r="K11" s="1"/>
      <x:c r="L11" s="1" t="str">
        <x:v>C-02</x:v>
      </x:c>
      <x:c r="M11" s="1" t="str">
        <x:f>IF(Produtos!A11="","",Produtos!A11)</x:f>
        <x:v>SKU-007</x:v>
      </x:c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/>
      <x:c r="B12" s="1"/>
      <x:c r="C12" s="1"/>
      <x:c r="D12" s="1"/>
      <x:c r="E12" s="1" t="str">
        <x:v>Pet</x:v>
      </x:c>
      <x:c r="F12" s="1" t="str">
        <x:v>frasco</x:v>
      </x:c>
      <x:c r="G12" s="1"/>
      <x:c r="H12" s="1"/>
      <x:c r="I12" s="1"/>
      <x:c r="J12" s="1" t="str">
        <x:v>Transferência</x:v>
      </x:c>
      <x:c r="K12" s="1"/>
      <x:c r="L12" s="1" t="str">
        <x:v>D-01</x:v>
      </x:c>
      <x:c r="M12" s="1" t="str">
        <x:f>IF(Produtos!A12="","",Produtos!A12)</x:f>
        <x:v>SKU-008</x:v>
      </x:c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30" customHeight="1">
      <x:c r="A13" s="202" t="str">
        <x:v>Parâmetros</x:v>
      </x:c>
      <x:c r="B13" s="202" t="str">
        <x:f>IF(AND(ISNUMBER(B6),B6&gt;0,ISNUMBER(B7),B7&gt;=0,ISNUMBER(B8),B8&gt;=B7,OR(B19="Todos",AND(B19&lt;&gt;"",COUNTIFS(Produtos!$A$5:$A$204,B19)=1))),"OK","REVISAR PARÂMETROS")</x:f>
        <x:v>OK</x:v>
      </x:c>
      <x:c r="C13" s="202"/>
      <x:c r="D13" s="202"/>
      <x:c r="E13" s="1" t="str">
        <x:v>Outros</x:v>
      </x:c>
      <x:c r="F13" s="1" t="str">
        <x:v>m</x:v>
      </x:c>
      <x:c r="G13" s="1"/>
      <x:c r="H13" s="1"/>
      <x:c r="I13" s="1"/>
      <x:c r="J13" s="1" t="str">
        <x:v>Consumo interno</x:v>
      </x:c>
      <x:c r="K13" s="1"/>
      <x:c r="L13" s="1" t="str">
        <x:v>D-02</x:v>
      </x:c>
      <x:c r="M13" s="1" t="str">
        <x:f>IF(Produtos!A13="","",Produtos!A13)</x:f>
      </x:c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30" customHeight="1">
      <x:c r="A14" s="202"/>
      <x:c r="B14" s="202"/>
      <x:c r="C14" s="202"/>
      <x:c r="D14" s="202"/>
      <x:c r="E14" s="1"/>
      <x:c r="F14" s="1" t="str">
        <x:v>m²</x:v>
      </x:c>
      <x:c r="G14" s="1"/>
      <x:c r="H14" s="1"/>
      <x:c r="I14" s="1"/>
      <x:c r="J14" s="1" t="str">
        <x:v>Outro</x:v>
      </x:c>
      <x:c r="K14" s="1"/>
      <x:c r="L14" s="1" t="str">
        <x:v>E-01</x:v>
      </x:c>
      <x:c r="M14" s="1" t="str">
        <x:f>IF(Produtos!A14="","",Produtos!A14)</x:f>
      </x:c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 ht="30" customHeight="1">
      <x:c r="A15" s="202" t="str">
        <x:v>Linhas pendentes</x:v>
      </x:c>
      <x:c r="B15" s="202" t="n">
        <x:f>SUM(Produtos!R5:R204,Lotes!U5:U204,Movimentacoes!P5:P304)</x:f>
        <x:v>0</x:v>
      </x:c>
      <x:c r="C15" s="202"/>
      <x:c r="D15" s="202"/>
      <x:c r="E15" s="1"/>
      <x:c r="F15" s="1" t="str">
        <x:v>m³</x:v>
      </x:c>
      <x:c r="G15" s="1"/>
      <x:c r="H15" s="1"/>
      <x:c r="I15" s="1"/>
      <x:c r="J15" s="1"/>
      <x:c r="K15" s="1"/>
      <x:c r="L15" s="1" t="str">
        <x:v>E-02</x:v>
      </x:c>
      <x:c r="M15" s="1" t="str">
        <x:f>IF(Produtos!A15="","",Produtos!A15)</x:f>
      </x:c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 ht="30" customHeight="1">
      <x:c r="A16" s="202"/>
      <x:c r="B16" s="202"/>
      <x:c r="C16" s="202"/>
      <x:c r="D16" s="202"/>
      <x:c r="E16" s="1"/>
      <x:c r="F16" s="1"/>
      <x:c r="G16" s="1"/>
      <x:c r="H16" s="1"/>
      <x:c r="I16" s="1"/>
      <x:c r="J16" s="1"/>
      <x:c r="K16" s="1"/>
      <x:c r="L16" s="1"/>
      <x:c r="M16" s="1" t="str">
        <x:f>IF(Produtos!A16="","",Produtos!A16)</x:f>
      </x:c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 ht="30" customHeight="1">
      <x:c r="A17" s="202" t="str">
        <x:v>Versão</x:v>
      </x:c>
      <x:c r="B17" s="202" t="str">
        <x:v>2.0</x:v>
      </x:c>
      <x:c r="C17" s="202"/>
      <x:c r="D17" s="202"/>
      <x:c r="E17" s="1"/>
      <x:c r="F17" s="1"/>
      <x:c r="G17" s="1"/>
      <x:c r="H17" s="1"/>
      <x:c r="I17" s="1"/>
      <x:c r="J17" s="1"/>
      <x:c r="K17" s="1"/>
      <x:c r="L17" s="1"/>
      <x:c r="M17" s="1" t="str">
        <x:f>IF(Produtos!A17="","",Produtos!A17)</x:f>
      </x:c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 ht="30" customHeight="1">
      <x:c r="A18" s="202"/>
      <x:c r="B18" s="202"/>
      <x:c r="C18" s="202"/>
      <x:c r="D18" s="202"/>
      <x:c r="E18" s="1"/>
      <x:c r="F18" s="1"/>
      <x:c r="G18" s="1"/>
      <x:c r="H18" s="1"/>
      <x:c r="I18" s="1"/>
      <x:c r="J18" s="1"/>
      <x:c r="K18" s="1"/>
      <x:c r="L18" s="1"/>
      <x:c r="M18" s="1" t="str">
        <x:f>IF(Produtos!A18="","",Produtos!A18)</x:f>
      </x:c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58" customHeight="1">
      <x:c r="A19" s="202" t="str">
        <x:v>SKU no painel</x:v>
      </x:c>
      <x:c r="B19" s="203" t="str">
        <x:v>Todos</x:v>
      </x:c>
      <x:c r="C19" s="204" t="str">
        <x:v>Filtra cartões, gráfico, prioridades e saldos. Pendências sem SKU conhecido ficam visíveis em todos os contextos.</x:v>
      </x:c>
      <x:c r="D19" s="204"/>
      <x:c r="E19" s="1"/>
      <x:c r="F19" s="1"/>
      <x:c r="G19" s="1"/>
      <x:c r="H19" s="1"/>
      <x:c r="I19" s="1"/>
      <x:c r="J19" s="1"/>
      <x:c r="K19" s="1"/>
      <x:c r="L19" s="1"/>
      <x:c r="M19" s="1" t="str">
        <x:f>IF(Produtos!A19="","",Produtos!A19)</x:f>
      </x:c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30" customHeight="1">
      <x:c r="A20" s="202"/>
      <x:c r="B20" s="202"/>
      <x:c r="C20" s="204"/>
      <x:c r="D20" s="204"/>
      <x:c r="E20" s="1"/>
      <x:c r="F20" s="1"/>
      <x:c r="G20" s="1"/>
      <x:c r="H20" s="1"/>
      <x:c r="I20" s="1"/>
      <x:c r="J20" s="1"/>
      <x:c r="K20" s="1"/>
      <x:c r="L20" s="1"/>
      <x:c r="M20" s="1" t="str">
        <x:f>IF(Produtos!A20="","",Produtos!A20)</x:f>
      </x:c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 ht="30" customHeight="1">
      <x:c r="A21" s="202" t="str">
        <x:v>Pendências no contexto</x:v>
      </x:c>
      <x:c r="B21" s="202" t="n">
        <x:f>B23+SUMIFS(Lotes!AH5:AH204,Lotes!X5:X204,1,Lotes!U5:U204,0)</x:f>
        <x:v>0</x:v>
      </x:c>
      <x:c r="C21" s="204"/>
      <x:c r="D21" s="204"/>
      <x:c r="E21" s="1"/>
      <x:c r="F21" s="1"/>
      <x:c r="G21" s="1"/>
      <x:c r="H21" s="1"/>
      <x:c r="I21" s="1"/>
      <x:c r="J21" s="1"/>
      <x:c r="K21" s="1"/>
      <x:c r="L21" s="1"/>
      <x:c r="M21" s="1" t="str">
        <x:f>IF(Produtos!A21="","",Produtos!A21)</x:f>
      </x:c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 ht="30" customHeight="1">
      <x:c r="A22" s="202"/>
      <x:c r="B22" s="202"/>
      <x:c r="C22" s="204"/>
      <x:c r="D22" s="204"/>
      <x:c r="E22" s="1"/>
      <x:c r="F22" s="1"/>
      <x:c r="G22" s="1"/>
      <x:c r="H22" s="1"/>
      <x:c r="I22" s="1"/>
      <x:c r="J22" s="1"/>
      <x:c r="K22" s="1"/>
      <x:c r="L22" s="1"/>
      <x:c r="M22" s="1" t="str">
        <x:f>IF(Produtos!A22="","",Produtos!A22)</x:f>
      </x:c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 ht="30" customHeight="1">
      <x:c r="A23" s="202" t="str">
        <x:v>Pendências nos cálculos</x:v>
      </x:c>
      <x:c r="B23" s="202" t="n">
        <x:f>SUMIFS(Produtos!R5:R204,Produtos!S5:S204,1)+SUMIFS(Lotes!U5:U204,Lotes!X5:X204,1)+SUMIFS(Movimentacoes!P5:P304,Movimentacoes!Q5:Q304,1)+IF(B13="OK",0,1)</x:f>
        <x:v>0</x:v>
      </x:c>
      <x:c r="C23" s="204"/>
      <x:c r="D23" s="204"/>
      <x:c r="E23" s="1"/>
      <x:c r="F23" s="1"/>
      <x:c r="G23" s="1"/>
      <x:c r="H23" s="1"/>
      <x:c r="I23" s="1"/>
      <x:c r="J23" s="1"/>
      <x:c r="K23" s="1"/>
      <x:c r="L23" s="1"/>
      <x:c r="M23" s="1" t="str">
        <x:f>IF(Produtos!A23="","",Produtos!A23)</x:f>
      </x:c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 t="str">
        <x:f>IF(Produtos!A24="","",Produtos!A24)</x:f>
      </x:c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 t="str">
        <x:f>IF(Produtos!A25="","",Produtos!A25)</x:f>
      </x:c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 t="str">
        <x:f>IF(Produtos!A26="","",Produtos!A26)</x:f>
      </x:c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 t="str">
        <x:f>IF(Produtos!A27="","",Produtos!A27)</x:f>
      </x:c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 t="str">
        <x:f>IF(Produtos!A28="","",Produtos!A28)</x:f>
      </x:c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 t="str">
        <x:f>IF(Produtos!A29="","",Produtos!A29)</x:f>
      </x:c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 t="str">
        <x:f>IF(Produtos!A30="","",Produtos!A30)</x:f>
      </x:c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 t="str">
        <x:f>IF(Produtos!A31="","",Produtos!A31)</x:f>
      </x:c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 t="str">
        <x:f>IF(Produtos!A32="","",Produtos!A32)</x:f>
      </x:c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 t="str">
        <x:f>IF(Produtos!A33="","",Produtos!A33)</x:f>
      </x:c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 t="str">
        <x:f>IF(Produtos!A34="","",Produtos!A34)</x:f>
      </x:c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 t="str">
        <x:f>IF(Produtos!A35="","",Produtos!A35)</x:f>
      </x:c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 t="str">
        <x:f>IF(Produtos!A36="","",Produtos!A36)</x:f>
      </x:c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 t="str">
        <x:f>IF(Produtos!A37="","",Produtos!A37)</x:f>
      </x:c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 t="str">
        <x:f>IF(Produtos!A38="","",Produtos!A38)</x:f>
      </x:c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 t="str">
        <x:f>IF(Produtos!A39="","",Produtos!A39)</x:f>
      </x:c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 t="str">
        <x:f>IF(Produtos!A40="","",Produtos!A40)</x:f>
      </x:c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 t="str">
        <x:f>IF(Produtos!A41="","",Produtos!A41)</x:f>
      </x:c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 t="str">
        <x:f>IF(Produtos!A42="","",Produtos!A42)</x:f>
      </x:c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 t="str">
        <x:f>IF(Produtos!A43="","",Produtos!A43)</x:f>
      </x:c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 t="str">
        <x:f>IF(Produtos!A44="","",Produtos!A44)</x:f>
      </x:c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 t="str">
        <x:f>IF(Produtos!A45="","",Produtos!A45)</x:f>
      </x:c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 t="str">
        <x:f>IF(Produtos!A46="","",Produtos!A46)</x:f>
      </x:c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 t="str">
        <x:f>IF(Produtos!A47="","",Produtos!A47)</x:f>
      </x:c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 t="str">
        <x:f>IF(Produtos!A48="","",Produtos!A48)</x:f>
      </x:c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 t="str">
        <x:f>IF(Produtos!A49="","",Produtos!A49)</x:f>
      </x:c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 t="str">
        <x:f>IF(Produtos!A50="","",Produtos!A50)</x:f>
      </x:c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 t="str">
        <x:f>IF(Produtos!A51="","",Produtos!A51)</x:f>
      </x:c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 t="str">
        <x:f>IF(Produtos!A52="","",Produtos!A52)</x:f>
      </x:c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 t="str">
        <x:f>IF(Produtos!A53="","",Produtos!A53)</x:f>
      </x:c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 t="str">
        <x:f>IF(Produtos!A54="","",Produtos!A54)</x:f>
      </x:c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 t="str">
        <x:f>IF(Produtos!A55="","",Produtos!A55)</x:f>
      </x:c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 t="str">
        <x:f>IF(Produtos!A56="","",Produtos!A56)</x:f>
      </x:c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 t="str">
        <x:f>IF(Produtos!A57="","",Produtos!A57)</x:f>
      </x:c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 t="str">
        <x:f>IF(Produtos!A58="","",Produtos!A58)</x:f>
      </x:c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 t="str">
        <x:f>IF(Produtos!A59="","",Produtos!A59)</x:f>
      </x:c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 t="str">
        <x:f>IF(Produtos!A60="","",Produtos!A60)</x:f>
      </x:c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 t="str">
        <x:f>IF(Produtos!A61="","",Produtos!A61)</x:f>
      </x:c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 t="str">
        <x:f>IF(Produtos!A62="","",Produtos!A62)</x:f>
      </x:c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 t="str">
        <x:f>IF(Produtos!A63="","",Produtos!A63)</x:f>
      </x:c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 t="str">
        <x:f>IF(Produtos!A64="","",Produtos!A64)</x:f>
      </x:c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 t="str">
        <x:f>IF(Produtos!A65="","",Produtos!A65)</x:f>
      </x:c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 t="str">
        <x:f>IF(Produtos!A66="","",Produtos!A66)</x:f>
      </x:c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 t="str">
        <x:f>IF(Produtos!A67="","",Produtos!A67)</x:f>
      </x:c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 t="str">
        <x:f>IF(Produtos!A68="","",Produtos!A68)</x:f>
      </x:c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 t="str">
        <x:f>IF(Produtos!A69="","",Produtos!A69)</x:f>
      </x:c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 t="str">
        <x:f>IF(Produtos!A70="","",Produtos!A70)</x:f>
      </x:c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 t="str">
        <x:f>IF(Produtos!A71="","",Produtos!A71)</x:f>
      </x:c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 t="str">
        <x:f>IF(Produtos!A72="","",Produtos!A72)</x:f>
      </x:c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 t="str">
        <x:f>IF(Produtos!A73="","",Produtos!A73)</x:f>
      </x:c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 t="str">
        <x:f>IF(Produtos!A74="","",Produtos!A74)</x:f>
      </x:c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 t="str">
        <x:f>IF(Produtos!A75="","",Produtos!A75)</x:f>
      </x:c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 t="str">
        <x:f>IF(Produtos!A76="","",Produtos!A76)</x:f>
      </x:c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 t="str">
        <x:f>IF(Produtos!A77="","",Produtos!A77)</x:f>
      </x:c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 t="str">
        <x:f>IF(Produtos!A78="","",Produtos!A78)</x:f>
      </x:c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 t="str">
        <x:f>IF(Produtos!A79="","",Produtos!A79)</x:f>
      </x:c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 t="str">
        <x:f>IF(Produtos!A80="","",Produtos!A80)</x:f>
      </x:c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 t="str">
        <x:f>IF(Produtos!A81="","",Produtos!A81)</x:f>
      </x:c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 t="str">
        <x:f>IF(Produtos!A82="","",Produtos!A82)</x:f>
      </x:c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 t="str">
        <x:f>IF(Produtos!A83="","",Produtos!A83)</x:f>
      </x:c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 t="str">
        <x:f>IF(Produtos!A84="","",Produtos!A84)</x:f>
      </x:c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 t="str">
        <x:f>IF(Produtos!A85="","",Produtos!A85)</x:f>
      </x:c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 t="str">
        <x:f>IF(Produtos!A86="","",Produtos!A86)</x:f>
      </x:c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 t="str">
        <x:f>IF(Produtos!A87="","",Produtos!A87)</x:f>
      </x:c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 t="str">
        <x:f>IF(Produtos!A88="","",Produtos!A88)</x:f>
      </x:c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 t="str">
        <x:f>IF(Produtos!A89="","",Produtos!A89)</x:f>
      </x:c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 t="str">
        <x:f>IF(Produtos!A90="","",Produtos!A90)</x:f>
      </x:c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 t="str">
        <x:f>IF(Produtos!A91="","",Produtos!A91)</x:f>
      </x:c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 t="str">
        <x:f>IF(Produtos!A92="","",Produtos!A92)</x:f>
      </x:c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 t="str">
        <x:f>IF(Produtos!A93="","",Produtos!A93)</x:f>
      </x:c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 t="str">
        <x:f>IF(Produtos!A94="","",Produtos!A94)</x:f>
      </x:c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 t="str">
        <x:f>IF(Produtos!A95="","",Produtos!A95)</x:f>
      </x:c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 t="str">
        <x:f>IF(Produtos!A96="","",Produtos!A96)</x:f>
      </x:c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 t="str">
        <x:f>IF(Produtos!A97="","",Produtos!A97)</x:f>
      </x:c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 t="str">
        <x:f>IF(Produtos!A98="","",Produtos!A98)</x:f>
      </x:c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 t="str">
        <x:f>IF(Produtos!A99="","",Produtos!A99)</x:f>
      </x:c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 t="str">
        <x:f>IF(Produtos!A100="","",Produtos!A100)</x:f>
      </x:c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 t="str">
        <x:f>IF(Produtos!A101="","",Produtos!A101)</x:f>
      </x:c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 t="str">
        <x:f>IF(Produtos!A102="","",Produtos!A102)</x:f>
      </x:c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 t="str">
        <x:f>IF(Produtos!A103="","",Produtos!A103)</x:f>
      </x:c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 t="str">
        <x:f>IF(Produtos!A104="","",Produtos!A104)</x:f>
      </x:c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 t="str">
        <x:f>IF(Produtos!A105="","",Produtos!A105)</x:f>
      </x:c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 t="str">
        <x:f>IF(Produtos!A106="","",Produtos!A106)</x:f>
      </x:c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 t="str">
        <x:f>IF(Produtos!A107="","",Produtos!A107)</x:f>
      </x:c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 t="str">
        <x:f>IF(Produtos!A108="","",Produtos!A108)</x:f>
      </x:c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 t="str">
        <x:f>IF(Produtos!A109="","",Produtos!A109)</x:f>
      </x:c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 t="str">
        <x:f>IF(Produtos!A110="","",Produtos!A110)</x:f>
      </x:c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 t="str">
        <x:f>IF(Produtos!A111="","",Produtos!A111)</x:f>
      </x:c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 t="str">
        <x:f>IF(Produtos!A112="","",Produtos!A112)</x:f>
      </x:c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 t="str">
        <x:f>IF(Produtos!A113="","",Produtos!A113)</x:f>
      </x:c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 t="str">
        <x:f>IF(Produtos!A114="","",Produtos!A114)</x:f>
      </x:c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 t="str">
        <x:f>IF(Produtos!A115="","",Produtos!A115)</x:f>
      </x:c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 t="str">
        <x:f>IF(Produtos!A116="","",Produtos!A116)</x:f>
      </x:c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 t="str">
        <x:f>IF(Produtos!A117="","",Produtos!A117)</x:f>
      </x:c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 t="str">
        <x:f>IF(Produtos!A118="","",Produtos!A118)</x:f>
      </x:c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 t="str">
        <x:f>IF(Produtos!A119="","",Produtos!A119)</x:f>
      </x:c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 t="str">
        <x:f>IF(Produtos!A120="","",Produtos!A120)</x:f>
      </x:c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 t="str">
        <x:f>IF(Produtos!A121="","",Produtos!A121)</x:f>
      </x:c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 t="str">
        <x:f>IF(Produtos!A122="","",Produtos!A122)</x:f>
      </x:c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 t="str">
        <x:f>IF(Produtos!A123="","",Produtos!A123)</x:f>
      </x:c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 t="str">
        <x:f>IF(Produtos!A124="","",Produtos!A124)</x:f>
      </x:c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 t="str">
        <x:f>IF(Produtos!A125="","",Produtos!A125)</x:f>
      </x:c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 t="str">
        <x:f>IF(Produtos!A126="","",Produtos!A126)</x:f>
      </x:c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 t="str">
        <x:f>IF(Produtos!A127="","",Produtos!A127)</x:f>
      </x:c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 t="str">
        <x:f>IF(Produtos!A128="","",Produtos!A128)</x:f>
      </x:c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 t="str">
        <x:f>IF(Produtos!A129="","",Produtos!A129)</x:f>
      </x:c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 t="str">
        <x:f>IF(Produtos!A130="","",Produtos!A130)</x:f>
      </x:c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 t="str">
        <x:f>IF(Produtos!A131="","",Produtos!A131)</x:f>
      </x:c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 t="str">
        <x:f>IF(Produtos!A132="","",Produtos!A132)</x:f>
      </x:c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 t="str">
        <x:f>IF(Produtos!A133="","",Produtos!A133)</x:f>
      </x:c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 t="str">
        <x:f>IF(Produtos!A134="","",Produtos!A134)</x:f>
      </x:c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 t="str">
        <x:f>IF(Produtos!A135="","",Produtos!A135)</x:f>
      </x:c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 t="str">
        <x:f>IF(Produtos!A136="","",Produtos!A136)</x:f>
      </x:c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 t="str">
        <x:f>IF(Produtos!A137="","",Produtos!A137)</x:f>
      </x:c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 t="str">
        <x:f>IF(Produtos!A138="","",Produtos!A138)</x:f>
      </x:c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 t="str">
        <x:f>IF(Produtos!A139="","",Produtos!A139)</x:f>
      </x:c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 t="str">
        <x:f>IF(Produtos!A140="","",Produtos!A140)</x:f>
      </x:c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 t="str">
        <x:f>IF(Produtos!A141="","",Produtos!A141)</x:f>
      </x:c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 t="str">
        <x:f>IF(Produtos!A142="","",Produtos!A142)</x:f>
      </x:c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 t="str">
        <x:f>IF(Produtos!A143="","",Produtos!A143)</x:f>
      </x:c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 t="str">
        <x:f>IF(Produtos!A144="","",Produtos!A144)</x:f>
      </x:c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 t="str">
        <x:f>IF(Produtos!A145="","",Produtos!A145)</x:f>
      </x:c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 t="str">
        <x:f>IF(Produtos!A146="","",Produtos!A146)</x:f>
      </x:c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 t="str">
        <x:f>IF(Produtos!A147="","",Produtos!A147)</x:f>
      </x:c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 t="str">
        <x:f>IF(Produtos!A148="","",Produtos!A148)</x:f>
      </x:c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 t="str">
        <x:f>IF(Produtos!A149="","",Produtos!A149)</x:f>
      </x:c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 t="str">
        <x:f>IF(Produtos!A150="","",Produtos!A150)</x:f>
      </x:c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 t="str">
        <x:f>IF(Produtos!A151="","",Produtos!A151)</x:f>
      </x:c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 t="str">
        <x:f>IF(Produtos!A152="","",Produtos!A152)</x:f>
      </x:c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 t="str">
        <x:f>IF(Produtos!A153="","",Produtos!A153)</x:f>
      </x:c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 t="str">
        <x:f>IF(Produtos!A154="","",Produtos!A154)</x:f>
      </x:c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 t="str">
        <x:f>IF(Produtos!A155="","",Produtos!A155)</x:f>
      </x:c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 t="str">
        <x:f>IF(Produtos!A156="","",Produtos!A156)</x:f>
      </x:c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 t="str">
        <x:f>IF(Produtos!A157="","",Produtos!A157)</x:f>
      </x:c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 t="str">
        <x:f>IF(Produtos!A158="","",Produtos!A158)</x:f>
      </x:c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 t="str">
        <x:f>IF(Produtos!A159="","",Produtos!A159)</x:f>
      </x:c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 t="str">
        <x:f>IF(Produtos!A160="","",Produtos!A160)</x:f>
      </x:c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 t="str">
        <x:f>IF(Produtos!A161="","",Produtos!A161)</x:f>
      </x:c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 t="str">
        <x:f>IF(Produtos!A162="","",Produtos!A162)</x:f>
      </x:c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 t="str">
        <x:f>IF(Produtos!A163="","",Produtos!A163)</x:f>
      </x:c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 t="str">
        <x:f>IF(Produtos!A164="","",Produtos!A164)</x:f>
      </x:c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 t="str">
        <x:f>IF(Produtos!A165="","",Produtos!A165)</x:f>
      </x:c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 t="str">
        <x:f>IF(Produtos!A166="","",Produtos!A166)</x:f>
      </x:c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 t="str">
        <x:f>IF(Produtos!A167="","",Produtos!A167)</x:f>
      </x:c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 t="str">
        <x:f>IF(Produtos!A168="","",Produtos!A168)</x:f>
      </x:c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 t="str">
        <x:f>IF(Produtos!A169="","",Produtos!A169)</x:f>
      </x:c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 t="str">
        <x:f>IF(Produtos!A170="","",Produtos!A170)</x:f>
      </x:c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 t="str">
        <x:f>IF(Produtos!A171="","",Produtos!A171)</x:f>
      </x:c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 t="str">
        <x:f>IF(Produtos!A172="","",Produtos!A172)</x:f>
      </x:c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 t="str">
        <x:f>IF(Produtos!A173="","",Produtos!A173)</x:f>
      </x:c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 t="str">
        <x:f>IF(Produtos!A174="","",Produtos!A174)</x:f>
      </x:c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 t="str">
        <x:f>IF(Produtos!A175="","",Produtos!A175)</x:f>
      </x:c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 t="str">
        <x:f>IF(Produtos!A176="","",Produtos!A176)</x:f>
      </x:c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 t="str">
        <x:f>IF(Produtos!A177="","",Produtos!A177)</x:f>
      </x:c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 t="str">
        <x:f>IF(Produtos!A178="","",Produtos!A178)</x:f>
      </x:c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 t="str">
        <x:f>IF(Produtos!A179="","",Produtos!A179)</x:f>
      </x:c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 t="str">
        <x:f>IF(Produtos!A180="","",Produtos!A180)</x:f>
      </x:c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 t="str">
        <x:f>IF(Produtos!A181="","",Produtos!A181)</x:f>
      </x:c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 t="str">
        <x:f>IF(Produtos!A182="","",Produtos!A182)</x:f>
      </x:c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 t="str">
        <x:f>IF(Produtos!A183="","",Produtos!A183)</x:f>
      </x:c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 t="str">
        <x:f>IF(Produtos!A184="","",Produtos!A184)</x:f>
      </x:c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 t="str">
        <x:f>IF(Produtos!A185="","",Produtos!A185)</x:f>
      </x:c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 t="str">
        <x:f>IF(Produtos!A186="","",Produtos!A186)</x:f>
      </x:c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 t="str">
        <x:f>IF(Produtos!A187="","",Produtos!A187)</x:f>
      </x:c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 t="str">
        <x:f>IF(Produtos!A188="","",Produtos!A188)</x:f>
      </x:c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 t="str">
        <x:f>IF(Produtos!A189="","",Produtos!A189)</x:f>
      </x:c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 t="str">
        <x:f>IF(Produtos!A190="","",Produtos!A190)</x:f>
      </x:c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 t="str">
        <x:f>IF(Produtos!A191="","",Produtos!A191)</x:f>
      </x:c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 t="str">
        <x:f>IF(Produtos!A192="","",Produtos!A192)</x:f>
      </x:c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 t="str">
        <x:f>IF(Produtos!A193="","",Produtos!A193)</x:f>
      </x:c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 t="str">
        <x:f>IF(Produtos!A194="","",Produtos!A194)</x:f>
      </x:c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 t="str">
        <x:f>IF(Produtos!A195="","",Produtos!A195)</x:f>
      </x:c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 t="str">
        <x:f>IF(Produtos!A196="","",Produtos!A196)</x:f>
      </x:c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 t="str">
        <x:f>IF(Produtos!A197="","",Produtos!A197)</x:f>
      </x:c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 t="str">
        <x:f>IF(Produtos!A198="","",Produtos!A198)</x:f>
      </x:c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 t="str">
        <x:f>IF(Produtos!A199="","",Produtos!A199)</x:f>
      </x:c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 t="str">
        <x:f>IF(Produtos!A200="","",Produtos!A200)</x:f>
      </x:c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 t="str">
        <x:f>IF(Produtos!A201="","",Produtos!A201)</x:f>
      </x:c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 t="str">
        <x:f>IF(Produtos!A202="","",Produtos!A202)</x:f>
      </x:c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 t="str">
        <x:f>IF(Produtos!A203="","",Produtos!A203)</x:f>
      </x:c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 t="str">
        <x:f>IF(Produtos!A204="","",Produtos!A204)</x:f>
      </x:c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L1"/>
    <x:mergeCell ref="A2:L2"/>
    <x:mergeCell ref="A4:C4"/>
    <x:mergeCell ref="E4:L4"/>
  </x:mergeCells>
  <x:dataValidations count="1">
    <x:dataValidation type="list" sqref="B19">
      <x:formula1>Listas!$M$4:$M$204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C7C6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5" customHeight="1">
      <x:c r="A1" s="206"/>
      <x:c r="B1" s="206"/>
      <x:c r="C1" s="206"/>
      <x:c r="D1" s="206"/>
      <x:c r="E1" s="206"/>
      <x:c r="F1" s="206"/>
      <x:c r="G1" s="206"/>
      <x:c r="H1" s="206"/>
      <x:c r="I1"/>
      <x:c r="J1"/>
      <x:c r="K1"/>
      <x:c r="L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2" customHeight="1">
      <x:c r="A2" s="185" t="str">
        <x:v>Lotes e validades: instruções de uso</x:v>
      </x:c>
      <x:c r="B2" s="185"/>
      <x:c r="C2" s="185"/>
      <x:c r="D2" s="185"/>
      <x:c r="E2" s="185"/>
      <x:c r="F2" s="185"/>
      <x:c r="G2" s="185"/>
      <x:c r="H2" s="185"/>
      <x:c r="I2"/>
      <x:c r="J2"/>
      <x:c r="K2"/>
      <x:c r="L2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5" customHeight="1">
      <x:c r="A3" s="206"/>
      <x:c r="B3" s="206"/>
      <x:c r="C3" s="206"/>
      <x:c r="D3" s="206"/>
      <x:c r="E3" s="206"/>
      <x:c r="F3" s="206"/>
      <x:c r="G3" s="206"/>
      <x:c r="H3" s="206"/>
      <x:c r="I3"/>
      <x:c r="J3"/>
      <x:c r="K3"/>
      <x:c r="L3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30" customHeight="1">
      <x:c r="A4" s="208" t="str">
        <x:v>Etapa</x:v>
      </x:c>
      <x:c r="B4" s="208"/>
      <x:c r="C4" s="208" t="str">
        <x:v>Preenchimento e interpretação</x:v>
      </x:c>
      <x:c r="D4" s="208"/>
      <x:c r="E4" s="208"/>
      <x:c r="F4" s="208"/>
      <x:c r="G4" s="208"/>
      <x:c r="H4" s="208"/>
      <x:c r="I4"/>
      <x:c r="J4"/>
      <x:c r="K4"/>
      <x:c r="L4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66" customHeight="1">
      <x:c r="A5" s="210" t="str">
        <x:v>1. Parâmetros</x:v>
      </x:c>
      <x:c r="B5" s="210"/>
      <x:c r="C5" s="209" t="str">
        <x:v>Listas B6 é a data de análise manual. B7 define dias críticos; B8 a janela de atenção, igual ou maior que B7. Em B19 selecione um SKU ou Todos. Datas, filtro e janelas inválidos pedem revisão. B9/B10 descrevem regras fixas, sem botões de bloqueio.</x:v>
      </x:c>
      <x:c r="D5" s="209"/>
      <x:c r="E5" s="209"/>
      <x:c r="F5" s="209"/>
      <x:c r="G5" s="209"/>
      <x:c r="H5" s="209"/>
      <x:c r="I5"/>
      <x:c r="J5"/>
      <x:c r="K5"/>
      <x:c r="L5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66" customHeight="1">
      <x:c r="A6" s="210" t="str">
        <x:v>2. Produtos</x:v>
      </x:c>
      <x:c r="B6" s="210"/>
      <x:c r="C6" s="209" t="str">
        <x:v>Em Produtos, preencha A:H: SKU único, nome, categoria, unidade, local, mínimo, custo padrão e status. O mínimo compara a quantidade utilizável daquele SKU. Não some caixas, unidades, kg ou outros tipos de quantidade entre produtos. O custo do lote determina os valores do painel.</x:v>
      </x:c>
      <x:c r="D6" s="209"/>
      <x:c r="E6" s="209"/>
      <x:c r="F6" s="209"/>
      <x:c r="G6" s="209"/>
      <x:c r="H6" s="209"/>
      <x:c r="I6"/>
      <x:c r="J6"/>
      <x:c r="K6"/>
      <x:c r="L6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66" customHeight="1">
      <x:c r="A7" s="210" t="str">
        <x:v>3. Lotes</x:v>
      </x:c>
      <x:c r="B7" s="210"/>
      <x:c r="C7" s="209" t="str">
        <x:v>Em Lotes, registre ID único, SKU, fornecedor, recebimento, fabricação quando conhecida, validade, quantidade recebida informada, custo e status. A quantidade informada em I não cria saldo: registre a entrada uma única vez em Movimentacoes. Não use I para baixar saídas.</x:v>
      </x:c>
      <x:c r="D7" s="209"/>
      <x:c r="E7" s="209"/>
      <x:c r="F7" s="209"/>
      <x:c r="G7" s="209"/>
      <x:c r="H7" s="209"/>
      <x:c r="I7"/>
      <x:c r="J7"/>
      <x:c r="K7"/>
      <x:c r="L7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66" customHeight="1">
      <x:c r="A8" s="210" t="str">
        <x:v>4. Movimentos</x:v>
      </x:c>
      <x:c r="B8" s="210"/>
      <x:c r="C8" s="209" t="str">
        <x:v>Em Movimentacoes, use ID único, data, tipo, lote e quantidade positiva. Entrada e Ajuste positivo somam; Saída, Perda e Ajuste negativo subtraem. Data anterior ao recebimento, lote desconhecido, quantidade inválida ou ID duplicado geram pendência. Motivo, documento, responsável e observação preservam a trilha.</x:v>
      </x:c>
      <x:c r="D8" s="209"/>
      <x:c r="E8" s="209"/>
      <x:c r="F8" s="209"/>
      <x:c r="G8" s="209"/>
      <x:c r="H8" s="209"/>
      <x:c r="I8"/>
      <x:c r="J8"/>
      <x:c r="K8"/>
      <x:c r="L8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66" customHeight="1">
      <x:c r="A9" s="210" t="str">
        <x:v>5. Saldo e corte</x:v>
      </x:c>
      <x:c r="B9" s="210"/>
      <x:c r="C9" s="209" t="str">
        <x:v>O saldo soma movimentos válidos do lote com data até Listas B6. Movimentos futuros ficam fora. Saldo negativo é pendência. Custo e status do lote são os atuais: mudar a análise não reconstrói o histórico completo de preço, quarentena ou liberações.</x:v>
      </x:c>
      <x:c r="D9" s="209"/>
      <x:c r="E9" s="209"/>
      <x:c r="F9" s="209"/>
      <x:c r="G9" s="209"/>
      <x:c r="H9" s="209"/>
      <x:c r="I9"/>
      <x:c r="J9"/>
      <x:c r="K9"/>
      <x:c r="L9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66" customHeight="1">
      <x:c r="A10" s="210" t="str">
        <x:v>6. Disponibilidade</x:v>
      </x:c>
      <x:c r="B10" s="210"/>
      <x:c r="C10" s="209" t="str">
        <x:v>Somente saldo positivo de lote Liberado, com dados coerentes e validade igual ou posterior à análise, é utilizável. Quarentena, bloqueio e vencimento ficam fora. Esgotado com saldo pede revisão. O arquivo sinaliza condições e não impede fisicamente uma expedição.</x:v>
      </x:c>
      <x:c r="D10" s="209"/>
      <x:c r="E10" s="209"/>
      <x:c r="F10" s="209"/>
      <x:c r="G10" s="209"/>
      <x:c r="H10" s="209"/>
      <x:c r="I10"/>
      <x:c r="J10"/>
      <x:c r="K10"/>
      <x:c r="L10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66" customHeight="1">
      <x:c r="A11" s="210" t="str">
        <x:v>7. Prioridades</x:v>
      </x:c>
      <x:c r="B11" s="210"/>
      <x:c r="C11" s="209" t="str">
        <x:v>O painel busca dez lotes com exceções em toda a área preparada. Ordem: dados, vencidos, restritos, críticos e próximos; empates seguem o cadastro. Um lote pode manter vários motivos. Edite responsável, ação e prazo em Lotes AB:AD, dentro da mesma tabela. Prazo é opcional; texto ou zero pede revisão.</x:v>
      </x:c>
      <x:c r="D11" s="209"/>
      <x:c r="E11" s="209"/>
      <x:c r="F11" s="209"/>
      <x:c r="G11" s="209"/>
      <x:c r="H11" s="209"/>
      <x:c r="I11"/>
      <x:c r="J11"/>
      <x:c r="K11"/>
      <x:c r="L1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66" customHeight="1">
      <x:c r="A12" s="210" t="str">
        <x:v>8. Valores e risco</x:v>
      </x:c>
      <x:c r="B12" s="210"/>
      <x:c r="C12" s="209" t="str">
        <x:v>Valor físico é saldo válido vezes custo atual do lote. Valor utilizável usa somente a parcela elegível. Valor em risco reúne vencidos, na janela, em quarentena ou bloqueados, uma vez por lote. É uma estimativa com dados do cadastro, sem garantia de perda ou venda e sem reavaliar preços.</x:v>
      </x:c>
      <x:c r="D12" s="209"/>
      <x:c r="E12" s="209"/>
      <x:c r="F12" s="209"/>
      <x:c r="G12" s="209"/>
      <x:c r="H12" s="209"/>
      <x:c r="I12"/>
      <x:c r="J12"/>
      <x:c r="K12"/>
      <x:c r="L12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66" customHeight="1">
      <x:c r="A13" s="210" t="str">
        <x:v>9. Pendências</x:v>
      </x:c>
      <x:c r="B13" s="210"/>
      <x:c r="C13" s="209" t="str">
        <x:v>Leia Produtos P, Lotes S/U/AG e Movimentacoes O. Dados de estoque inválidos suspendem totais afetados. Prazo de ação inválido aumenta Pendências e entra na prioridade, mantendo o saldo válido. A mesma causa pode atingir várias linhas. Linhas sem SKU conhecido permanecem visíveis em qualquer filtro.</x:v>
      </x:c>
      <x:c r="D13" s="209"/>
      <x:c r="E13" s="209"/>
      <x:c r="F13" s="209"/>
      <x:c r="G13" s="209"/>
      <x:c r="H13" s="209"/>
      <x:c r="I13"/>
      <x:c r="J13"/>
      <x:c r="K13"/>
      <x:c r="L13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66" customHeight="1">
      <x:c r="A14" s="210" t="str">
        <x:v>10. Manutenção</x:v>
      </x:c>
      <x:c r="B14" s="210"/>
      <x:c r="C14" s="209" t="str">
        <x:v>Substitua exemplos fictícios nas entradas amarelas, preservando fórmulas e tabelas. Ordene a tabela inteira, incluindo os campos AB:AD. Para corrigir uma operação, registre ajuste identificado em vez de apagar a trilha. Confira o painel depois de editar datas, status, preço ou baixa.</x:v>
      </x:c>
      <x:c r="D14" s="209"/>
      <x:c r="E14" s="209"/>
      <x:c r="F14" s="209"/>
      <x:c r="G14" s="209"/>
      <x:c r="H14" s="209"/>
      <x:c r="I14"/>
      <x:c r="J14"/>
      <x:c r="K14"/>
      <x:c r="L14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 ht="25" customHeight="1">
      <x:c r="A15" s="206"/>
      <x:c r="B15" s="206"/>
      <x:c r="C15" s="206"/>
      <x:c r="D15" s="206"/>
      <x:c r="E15" s="206"/>
      <x:c r="F15" s="206"/>
      <x:c r="G15" s="206"/>
      <x:c r="H15" s="206"/>
      <x:c r="I15"/>
      <x:c r="J15"/>
      <x:c r="K15"/>
      <x:c r="L15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 ht="25" customHeight="1">
      <x:c r="A16" s="206"/>
      <x:c r="B16" s="206"/>
      <x:c r="C16" s="206"/>
      <x:c r="D16" s="206"/>
      <x:c r="E16" s="206"/>
      <x:c r="F16" s="206"/>
      <x:c r="G16" s="206"/>
      <x:c r="H16" s="206"/>
      <x:c r="I16"/>
      <x:c r="J16"/>
      <x:c r="K16"/>
      <x:c r="L16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 ht="30" customHeight="1">
      <x:c r="A17" s="209" t="str">
        <x:v>Limites preparados: 200 produtos e 200 lotes nas linhas 5:204, 300 movimentos nas linhas 5:304. Além disso, amplie tabelas, fórmulas, validações, listas, resumos, gráfico e prioridades e repita os testes. Copiar apenas uma linha não garante a inclusão.</x:v>
      </x:c>
      <x:c r="B17" s="209"/>
      <x:c r="C17" s="209"/>
      <x:c r="D17" s="209"/>
      <x:c r="E17" s="209"/>
      <x:c r="F17" s="209"/>
      <x:c r="G17" s="209"/>
      <x:c r="H17" s="209"/>
      <x:c r="I17"/>
      <x:c r="J17"/>
      <x:c r="K17"/>
      <x:c r="L17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 ht="30" customHeight="1">
      <x:c r="A18" s="209"/>
      <x:c r="B18" s="209"/>
      <x:c r="C18" s="209"/>
      <x:c r="D18" s="209"/>
      <x:c r="E18" s="209"/>
      <x:c r="F18" s="209"/>
      <x:c r="G18" s="209"/>
      <x:c r="H18" s="209"/>
      <x:c r="I18"/>
      <x:c r="J18"/>
      <x:c r="K18"/>
      <x:c r="L18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30" customHeight="1">
      <x:c r="A19" s="209" t="str">
        <x:v>Seis cartões: lotes com saldo (contagem), valor físico (R$), valor utilizável (R$), risco (R$), lotes não vencidos na janela (contagem) e pendências. O gráfico separa vencidos, restritos vigentes, liberados na janela e demais liberados, sem duplicar valores.</x:v>
      </x:c>
      <x:c r="B19" s="209"/>
      <x:c r="C19" s="209"/>
      <x:c r="D19" s="209"/>
      <x:c r="E19" s="209"/>
      <x:c r="F19" s="209"/>
      <x:c r="G19" s="209"/>
      <x:c r="H19" s="209"/>
      <x:c r="I19"/>
      <x:c r="J19"/>
      <x:c r="K19"/>
      <x:c r="L19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30" customHeight="1">
      <x:c r="A20" s="209"/>
      <x:c r="B20" s="209"/>
      <x:c r="C20" s="209"/>
      <x:c r="D20" s="209"/>
      <x:c r="E20" s="209"/>
      <x:c r="F20" s="209"/>
      <x:c r="G20" s="209"/>
      <x:c r="H20" s="209"/>
      <x:c r="I20"/>
      <x:c r="J20"/>
      <x:c r="K20"/>
      <x:c r="L20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 ht="30" customHeight="1">
      <x:c r="A21" s="209" t="str">
        <x:v>O filtro SKU altera cartões, gráfico, prioridades e o quadro de quantidades. Esse quadro mostra até dez SKUs na ordem do cadastro. Os demais estão em Produtos. Uma linha pode ter quantidade em caixas e outra em unidades; cada comparação é feita no seu SKU.</x:v>
      </x:c>
      <x:c r="B21" s="209"/>
      <x:c r="C21" s="209"/>
      <x:c r="D21" s="209"/>
      <x:c r="E21" s="209"/>
      <x:c r="F21" s="209"/>
      <x:c r="G21" s="209"/>
      <x:c r="H21" s="209"/>
      <x:c r="I21"/>
      <x:c r="J21"/>
      <x:c r="K21"/>
      <x:c r="L2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 ht="30" customHeight="1">
      <x:c r="A22" s="209"/>
      <x:c r="B22" s="209"/>
      <x:c r="C22" s="209"/>
      <x:c r="D22" s="209"/>
      <x:c r="E22" s="209"/>
      <x:c r="F22" s="209"/>
      <x:c r="G22" s="209"/>
      <x:c r="H22" s="209"/>
      <x:c r="I22"/>
      <x:c r="J22"/>
      <x:c r="K22"/>
      <x:c r="L22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 ht="30" customHeight="1">
      <x:c r="A23" s="209" t="str">
        <x:v>FEFO: compare a menor validade somente entre lotes utilizáveis do mesmo SKU. Lotes O apresenta a data elegível; filtre e ordene a tabela inteira por SKU e data. A lista de exceções do painel segue a gravidade descrita acima, não é uma ordem automática de expedição.</x:v>
      </x:c>
      <x:c r="B23" s="209"/>
      <x:c r="C23" s="209"/>
      <x:c r="D23" s="209"/>
      <x:c r="E23" s="209"/>
      <x:c r="F23" s="209"/>
      <x:c r="G23" s="209"/>
      <x:c r="H23" s="209"/>
      <x:c r="I23"/>
      <x:c r="J23"/>
      <x:c r="K23"/>
      <x:c r="L23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 ht="30" customHeight="1">
      <x:c r="A24" s="209"/>
      <x:c r="B24" s="209"/>
      <x:c r="C24" s="209"/>
      <x:c r="D24" s="209"/>
      <x:c r="E24" s="209"/>
      <x:c r="F24" s="209"/>
      <x:c r="G24" s="209"/>
      <x:c r="H24" s="209"/>
      <x:c r="I24"/>
      <x:c r="J24"/>
      <x:c r="K24"/>
      <x:c r="L24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 ht="30" customHeight="1">
      <x:c r="A25" s="209" t="str">
        <x:v>Exemplo fictício em 29/09/2026: 9 lotes com saldo, R$14.529 físicos, R$12.124,50 utilizáveis, R$4.682,50 em risco, 2 lotes na janela e zero pendências. SKU001 tem 350 un físicas e 290 utilizáveis. SKU005 tem 120 un em quarentena, zero utilizável e mínimo80, pedindo reposição.</x:v>
      </x:c>
      <x:c r="B25" s="209"/>
      <x:c r="C25" s="209"/>
      <x:c r="D25" s="209"/>
      <x:c r="E25" s="209"/>
      <x:c r="F25" s="209"/>
      <x:c r="G25" s="209"/>
      <x:c r="H25" s="209"/>
      <x:c r="I25"/>
      <x:c r="J25"/>
      <x:c r="K25"/>
      <x:c r="L25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 ht="30" customHeight="1">
      <x:c r="A26" s="209"/>
      <x:c r="B26" s="209"/>
      <x:c r="C26" s="209"/>
      <x:c r="D26" s="209"/>
      <x:c r="E26" s="209"/>
      <x:c r="F26" s="209"/>
      <x:c r="G26" s="209"/>
      <x:c r="H26" s="209"/>
      <x:c r="I26"/>
      <x:c r="J26"/>
      <x:c r="K26"/>
      <x:c r="L26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30" customHeight="1">
      <x:c r="A27" s="209" t="str">
        <x:v>Modelo operacional de apoio. As decisões de qualidade, segregação, rastreabilidade, armazenagem e destinação devem seguir os procedimentos aplicáveis ao produto. Não integra ERP, banco, leitor de código ou Power BI, não baixa estoque sozinho e não calcula custo histórico por movimento.</x:v>
      </x:c>
      <x:c r="B27" s="209"/>
      <x:c r="C27" s="209"/>
      <x:c r="D27" s="209"/>
      <x:c r="E27" s="209"/>
      <x:c r="F27" s="209"/>
      <x:c r="G27" s="209"/>
      <x:c r="H27" s="209"/>
      <x:c r="I27"/>
      <x:c r="J27"/>
      <x:c r="K27"/>
      <x:c r="L27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30" customHeight="1">
      <x:c r="A28" s="209"/>
      <x:c r="B28" s="209"/>
      <x:c r="C28" s="209"/>
      <x:c r="D28" s="209"/>
      <x:c r="E28" s="209"/>
      <x:c r="F28" s="209"/>
      <x:c r="G28" s="209"/>
      <x:c r="H28" s="209"/>
      <x:c r="I28"/>
      <x:c r="J28"/>
      <x:c r="K28"/>
      <x:c r="L28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 ht="30" customHeight="1">
      <x:c r="A29" s="209" t="str">
        <x:v>Versão2.0: importação testada no Google Planilhas. Excel nativo não testado. Mantenha uma cópia original e controle acesso quando substituir os dados fictícios por registros da operação.</x:v>
      </x:c>
      <x:c r="B29" s="209"/>
      <x:c r="C29" s="209"/>
      <x:c r="D29" s="209"/>
      <x:c r="E29" s="209"/>
      <x:c r="F29" s="209"/>
      <x:c r="G29" s="209"/>
      <x:c r="H29" s="209"/>
      <x:c r="I29"/>
      <x:c r="J29"/>
      <x:c r="K29"/>
      <x:c r="L29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 ht="30" customHeight="1">
      <x:c r="A30" s="209"/>
      <x:c r="B30" s="209"/>
      <x:c r="C30" s="209"/>
      <x:c r="D30" s="209"/>
      <x:c r="E30" s="209"/>
      <x:c r="F30" s="209"/>
      <x:c r="G30" s="209"/>
      <x:c r="H30" s="209"/>
      <x:c r="I30"/>
      <x:c r="J30"/>
      <x:c r="K30"/>
      <x:c r="L30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25" customHeight="1">
      <x:c r="A31" s="206"/>
      <x:c r="B31" s="206"/>
      <x:c r="C31" s="206"/>
      <x:c r="D31" s="206"/>
      <x:c r="E31" s="206"/>
      <x:c r="F31" s="206"/>
      <x:c r="G31" s="206"/>
      <x:c r="H31" s="206"/>
      <x:c r="I31"/>
      <x:c r="J31"/>
      <x:c r="K31"/>
      <x:c r="L3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 ht="25" customHeight="1">
      <x:c r="A32" s="206"/>
      <x:c r="B32" s="206"/>
      <x:c r="C32" s="206"/>
      <x:c r="D32" s="206"/>
      <x:c r="E32" s="206"/>
      <x:c r="F32" s="206"/>
      <x:c r="G32" s="206"/>
      <x:c r="H32" s="206"/>
      <x:c r="I32"/>
      <x:c r="J32"/>
      <x:c r="K32"/>
      <x:c r="L32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 ht="25" customHeight="1">
      <x:c r="A33" s="206"/>
      <x:c r="B33" s="206"/>
      <x:c r="C33" s="206"/>
      <x:c r="D33" s="206"/>
      <x:c r="E33" s="206"/>
      <x:c r="F33" s="206"/>
      <x:c r="G33" s="206"/>
      <x:c r="H33" s="206"/>
      <x:c r="I33"/>
      <x:c r="J33"/>
      <x:c r="K33"/>
      <x:c r="L33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 ht="25" customHeight="1">
      <x:c r="A34" s="206"/>
      <x:c r="B34" s="206"/>
      <x:c r="C34" s="206"/>
      <x:c r="D34" s="206"/>
      <x:c r="E34" s="206"/>
      <x:c r="F34" s="206"/>
      <x:c r="G34" s="206"/>
      <x:c r="H34" s="206"/>
      <x:c r="I34"/>
      <x:c r="J34"/>
      <x:c r="K34"/>
      <x:c r="L34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2:H2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7:H18"/>
    <x:mergeCell ref="A19:H20"/>
    <x:mergeCell ref="A21:H22"/>
    <x:mergeCell ref="A23:H24"/>
    <x:mergeCell ref="A25:H26"/>
    <x:mergeCell ref="A27:H28"/>
    <x:mergeCell ref="A29:H30"/>
  </x:mergeCells>
  <x:pageMargins left="0.7" right="0.7" top="0.75" bottom="0.75" header="0.3" footer="0.3"/>
</x:worksheet>
</file>