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70ece4d5042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3f6482edd271440f"/>
    <x:sheet xmlns:r="http://schemas.openxmlformats.org/officeDocument/2006/relationships" name="Chamados" sheetId="2" r:id="R63bd96e645ff4151"/>
    <x:sheet xmlns:r="http://schemas.openxmlformats.org/officeDocument/2006/relationships" name="Historico" sheetId="3" r:id="R65ad256bdd5043e5"/>
    <x:sheet xmlns:r="http://schemas.openxmlformats.org/officeDocument/2006/relationships" name="Equipe" sheetId="4" r:id="Rd8cac17827d54bb0"/>
    <x:sheet xmlns:r="http://schemas.openxmlformats.org/officeDocument/2006/relationships" name="Listas" sheetId="5" r:id="R73532ff9ff864a1d"/>
    <x:sheet xmlns:r="http://schemas.openxmlformats.org/officeDocument/2006/relationships" name="Instrucoes" sheetId="6" r:id="R769f85a645b4498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0"/>
    <x:numFmt numFmtId="201" formatCode="dd/mm/yyyy hh:mm"/>
    <x:numFmt numFmtId="202" formatCode="0.0"/>
    <x:numFmt numFmtId="203" formatCode="0%"/>
    <x:numFmt numFmtId="204" formatCode="0.0%"/>
    <x:numFmt numFmtId="205" formatCode="dd/mm hh:mm"/>
  </x:numFmts>
  <x:fonts count="20">
    <x:font>
      <x:sz val="11"/>
      <x:name val="Carlito"/>
    </x:font>
    <x:font>
      <x:sz val="10"/>
      <x:color rgb="FF25352C"/>
      <x:name val="Arial"/>
    </x:font>
    <x:font>
      <x:b/>
      <x:sz val="16"/>
      <x:color rgb="FFFFFFFF"/>
      <x:name val="Arial"/>
    </x:font>
    <x:font>
      <x:i/>
      <x:sz val="10"/>
      <x:color rgb="FF245B91"/>
      <x:name val="Arial"/>
    </x:font>
    <x:font>
      <x:b/>
      <x:sz val="10"/>
      <x:color rgb="FFFFFFFF"/>
      <x:name val="Arial"/>
    </x:font>
    <x:font>
      <x:sz val="10"/>
      <x:color rgb="FF0000FF"/>
      <x:name val="Arial"/>
    </x:font>
    <x:font>
      <x:sz val="10"/>
      <x:color rgb="FF008000"/>
      <x:name val="Arial"/>
    </x:font>
    <x:font>
      <x:b/>
      <x:sz val="10"/>
      <x:color rgb="FF25352C"/>
      <x:name val="Arial"/>
    </x:font>
    <x:font>
      <x:b/>
      <x:sz val="10"/>
      <x:color rgb="FF008000"/>
      <x:name val="Arial"/>
    </x:font>
    <x:font>
      <x:b/>
      <x:sz val="15"/>
      <x:color rgb="FF173D2B"/>
      <x:name val="Arial"/>
    </x:font>
    <x:font>
      <x:b/>
      <x:sz val="10"/>
      <x:color rgb="FF173D2B"/>
      <x:name val="Arial"/>
    </x:font>
    <x:font>
      <x:b/>
      <x:sz val="10"/>
      <x:color rgb="FF6F5200"/>
      <x:name val="Arial"/>
    </x:font>
    <x:font>
      <x:b/>
      <x:sz val="11"/>
      <x:color rgb="FFFFFFFF"/>
      <x:name val="Carlito"/>
    </x:font>
    <x:font>
      <x:b/>
      <x:sz val="11"/>
      <x:color rgb="FF213C43"/>
      <x:name val="Arial"/>
    </x:font>
    <x:font>
      <x:i/>
      <x:sz val="11"/>
      <x:color rgb="FF213C43"/>
      <x:name val="Arial"/>
    </x:font>
    <x:font>
      <x:sz val="11"/>
      <x:color rgb="FF213C43"/>
      <x:name val="Arial"/>
    </x:font>
    <x:font>
      <x:b/>
      <x:sz val="11"/>
      <x:color rgb="FFFFFFFF"/>
      <x:name val="Arial"/>
    </x:font>
    <x:font>
      <x:b/>
      <x:sz val="22"/>
      <x:color rgb="FF164A42"/>
      <x:name val="Arial"/>
    </x:font>
    <x:font>
      <x:b/>
      <x:sz val="18"/>
      <x:color rgb="FFFFFFFF"/>
      <x:name val="Carlito"/>
    </x:font>
    <x:font>
      <x:sz val="11"/>
      <x:color rgb="FF213C43"/>
      <x:name val="Carlito"/>
    </x:font>
  </x:fonts>
  <x:fills count="13">
    <x:fill>
      <x:patternFill patternType="none"/>
    </x:fill>
    <x:fill>
      <x:patternFill patternType="gray125"/>
    </x:fill>
    <x:fill>
      <x:patternFill patternType="solid">
        <x:fgColor rgb="FF173D2B"/>
      </x:patternFill>
    </x:fill>
    <x:fill>
      <x:patternFill patternType="solid">
        <x:fgColor rgb="FFE7F0FA"/>
      </x:patternFill>
    </x:fill>
    <x:fill>
      <x:patternFill patternType="solid">
        <x:fgColor rgb="FF2F7D4A"/>
      </x:patternFill>
    </x:fill>
    <x:fill>
      <x:patternFill patternType="solid">
        <x:fgColor rgb="FFFFF4CC"/>
      </x:patternFill>
    </x:fill>
    <x:fill>
      <x:patternFill patternType="solid">
        <x:fgColor rgb="FFF4F7F5"/>
      </x:patternFill>
    </x:fill>
    <x:fill>
      <x:patternFill patternType="solid">
        <x:fgColor rgb="FFDFF2E5"/>
      </x:patternFill>
    </x:fill>
    <x:fill>
      <x:patternFill patternType="solid">
        <x:fgColor rgb="FFFFF0CA"/>
      </x:patternFill>
    </x:fill>
    <x:fill>
      <x:patternFill patternType="solid">
        <x:fgColor rgb="FF164A42"/>
      </x:patternFill>
    </x:fill>
    <x:fill>
      <x:patternFill patternType="solid">
        <x:fgColor rgb="FFEAF3EF"/>
      </x:patternFill>
    </x:fill>
    <x:fill>
      <x:patternFill patternType="solid">
        <x:fgColor rgb="FFFFFFFF"/>
      </x:patternFill>
    </x:fill>
    <x:fill>
      <x:patternFill patternType="solid">
        <x:fgColor rgb="FFEDF3F3"/>
      </x:patternFill>
    </x:fill>
  </x:fills>
  <x:borders count="14">
    <x:border/>
    <x:border>
      <x:right style="thin">
        <x:color rgb="FFFFFFFF"/>
      </x:right>
      <x:bottom style="thin">
        <x:color rgb="FFCFD9D2"/>
      </x:bottom>
    </x:border>
    <x:border>
      <x:left style="thin">
        <x:color rgb="FFFFFFFF"/>
      </x:left>
      <x:right style="thin">
        <x:color rgb="FFFFFFFF"/>
      </x:right>
      <x:bottom style="thin">
        <x:color rgb="FFCFD9D2"/>
      </x:bottom>
    </x:border>
    <x:border>
      <x:left style="thin">
        <x:color rgb="FFFFFFFF"/>
      </x:left>
      <x:bottom style="thin">
        <x:color rgb="FFCFD9D2"/>
      </x:bottom>
    </x:border>
    <x:border>
      <x:bottom style="thin">
        <x:color rgb="FFCFD9D2"/>
      </x:bottom>
    </x:border>
    <x:border>
      <x:top style="thin">
        <x:color rgb="FFCFD9D2"/>
      </x:top>
      <x:bottom style="thin">
        <x:color rgb="FFCFD9D2"/>
      </x:bottom>
    </x:border>
    <x:border>
      <x:top style="thin">
        <x:color rgb="FFCFD9D2"/>
      </x:top>
    </x:border>
    <x:border>
      <x:left style="thin">
        <x:color rgb="FFCFD9D2"/>
      </x:left>
      <x:top style="thin">
        <x:color rgb="FFCFD9D2"/>
      </x:top>
    </x:border>
    <x:border>
      <x:right style="thin">
        <x:color rgb="FFCFD9D2"/>
      </x:right>
      <x:top style="thin">
        <x:color rgb="FFCFD9D2"/>
      </x:top>
    </x:border>
    <x:border>
      <x:left style="thin">
        <x:color rgb="FFCFD9D2"/>
      </x:left>
      <x:bottom style="thin">
        <x:color rgb="FFCFD9D2"/>
      </x:bottom>
    </x:border>
    <x:border>
      <x:right style="thin">
        <x:color rgb="FFCFD9D2"/>
      </x:right>
      <x:bottom style="thin">
        <x:color rgb="FFCFD9D2"/>
      </x:bottom>
    </x:border>
    <x:border>
      <x:right style="thin">
        <x:color rgb="FFFFFFFF"/>
      </x:right>
      <x:top style="thin">
        <x:color rgb="FFCFD9D2"/>
      </x:top>
      <x:bottom style="thin">
        <x:color rgb="FFCFD9D2"/>
      </x:bottom>
    </x:border>
    <x:border>
      <x:left style="thin">
        <x:color rgb="FFCFD9D2"/>
      </x:left>
    </x:border>
    <x:border>
      <x:right style="thin">
        <x:color rgb="FFCFD9D2"/>
      </x:right>
    </x:border>
  </x:borders>
  <x:cellStyleXfs count="1">
    <x:xf numFmtId="0" fontId="0" fillId="0" borderId="0"/>
  </x:cellStyleXfs>
  <x:cellXfs count="195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4" fillId="4" borderId="2" xfId="0" applyNumberFormat="1" applyFont="1" applyFill="1" applyBorder="1"/>
    <x:xf numFmtId="0" fontId="4" fillId="4" borderId="3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2" xfId="0" applyNumberFormat="1" applyFont="1" applyFill="1" applyBorder="1" applyAlignment="1">
      <x:alignment wrapText="1"/>
    </x:xf>
    <x:xf numFmtId="0" fontId="4" fillId="4" borderId="3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2" xfId="0" applyNumberFormat="1" applyFont="1" applyFill="1" applyBorder="1" applyAlignment="1">
      <x:alignment horizontal="center" wrapText="1"/>
    </x:xf>
    <x:xf numFmtId="0" fontId="4" fillId="4" borderId="3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4" fillId="4" borderId="2" xfId="0" applyNumberFormat="1" applyFont="1" applyFill="1" applyBorder="1" applyAlignment="1">
      <x:alignment horizontal="center" vertical="center" wrapText="1"/>
    </x:xf>
    <x:xf numFmtId="0" fontId="4" fillId="4" borderId="3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4" xfId="0" applyNumberFormat="1" applyFont="1" applyFill="1" applyBorder="1"/>
    <x:xf numFmtId="0" fontId="5" fillId="5" borderId="5" xfId="0" applyNumberFormat="1" applyFont="1" applyFill="1" applyBorder="1"/>
    <x:xf numFmtId="0" fontId="5" fillId="5" borderId="6" xfId="0" applyNumberFormat="1" applyFont="1" applyFill="1" applyBorder="1"/>
    <x:xf numFmtId="200" fontId="5" fillId="5" borderId="4" xfId="0" applyNumberFormat="1" applyFont="1" applyFill="1" applyBorder="1"/>
    <x:xf numFmtId="200" fontId="5" fillId="5" borderId="5" xfId="0" applyNumberFormat="1" applyFont="1" applyFill="1" applyBorder="1"/>
    <x:xf numFmtId="200" fontId="5" fillId="5" borderId="6" xfId="0" applyNumberFormat="1" applyFont="1" applyFill="1" applyBorder="1"/>
    <x:xf numFmtId="0" fontId="1" fillId="6" borderId="0" xfId="0" applyNumberFormat="1" applyFont="1" applyFill="1" applyBorder="1"/>
    <x:xf numFmtId="0" fontId="1" fillId="6" borderId="4" xfId="0" applyNumberFormat="1" applyFont="1" applyFill="1" applyBorder="1"/>
    <x:xf numFmtId="0" fontId="1" fillId="6" borderId="5" xfId="0" applyNumberFormat="1" applyFont="1" applyFill="1" applyBorder="1"/>
    <x:xf numFmtId="0" fontId="1" fillId="6" borderId="6" xfId="0" applyNumberFormat="1" applyFont="1" applyFill="1" applyBorder="1"/>
    <x:xf numFmtId="0" fontId="1" fillId="0" borderId="4" xfId="0" applyNumberFormat="1" applyFont="1" applyFill="1" applyBorder="1"/>
    <x:xf numFmtId="0" fontId="1" fillId="0" borderId="5" xfId="0" applyNumberFormat="1" applyFont="1" applyFill="1" applyBorder="1"/>
    <x:xf numFmtId="0" fontId="1" fillId="0" borderId="6" xfId="0" applyNumberFormat="1" applyFont="1" applyFill="1" applyBorder="1"/>
    <x:xf numFmtId="201" fontId="5" fillId="5" borderId="0" xfId="0" applyNumberFormat="1" applyFont="1" applyFill="1" applyBorder="1"/>
    <x:xf numFmtId="201" fontId="5" fillId="5" borderId="5" xfId="0" applyNumberFormat="1" applyFont="1" applyFill="1" applyBorder="1"/>
    <x:xf numFmtId="0" fontId="6" fillId="0" borderId="0" xfId="0" applyNumberFormat="1" applyFont="1" applyFill="1" applyBorder="1"/>
    <x:xf numFmtId="0" fontId="6" fillId="5" borderId="0" xfId="0" applyNumberFormat="1" applyFont="1" applyFill="1" applyBorder="1"/>
    <x:xf numFmtId="201" fontId="6" fillId="0" borderId="0" xfId="0" applyNumberFormat="1" applyFont="1" applyFill="1" applyBorder="1"/>
    <x:xf numFmtId="202" fontId="6" fillId="0" borderId="0" xfId="0" applyNumberFormat="1" applyFont="1" applyFill="1" applyBorder="1"/>
    <x:xf numFmtId="200" fontId="6" fillId="0" borderId="0" xfId="0" applyNumberFormat="1" applyFont="1" applyFill="1" applyBorder="1"/>
    <x:xf numFmtId="200" fontId="6" fillId="5" borderId="0" xfId="0" applyNumberFormat="1" applyFont="1" applyFill="1" applyBorder="1"/>
    <x:xf numFmtId="201" fontId="5" fillId="5" borderId="4" xfId="0" applyNumberFormat="1" applyFont="1" applyFill="1" applyBorder="1"/>
    <x:xf numFmtId="201" fontId="6" fillId="0" borderId="4" xfId="0" applyNumberFormat="1" applyFont="1" applyFill="1" applyBorder="1"/>
    <x:xf numFmtId="0" fontId="6" fillId="0" borderId="4" xfId="0" applyNumberFormat="1" applyFont="1" applyFill="1" applyBorder="1"/>
    <x:xf numFmtId="202" fontId="6" fillId="0" borderId="4" xfId="0" applyNumberFormat="1" applyFont="1" applyFill="1" applyBorder="1"/>
    <x:xf numFmtId="200" fontId="6" fillId="0" borderId="4" xfId="0" applyNumberFormat="1" applyFont="1" applyFill="1" applyBorder="1"/>
    <x:xf numFmtId="200" fontId="6" fillId="5" borderId="4" xfId="0" applyNumberFormat="1" applyFont="1" applyFill="1" applyBorder="1"/>
    <x:xf numFmtId="201" fontId="6" fillId="0" borderId="5" xfId="0" applyNumberFormat="1" applyFont="1" applyFill="1" applyBorder="1"/>
    <x:xf numFmtId="0" fontId="6" fillId="0" borderId="5" xfId="0" applyNumberFormat="1" applyFont="1" applyFill="1" applyBorder="1"/>
    <x:xf numFmtId="202" fontId="6" fillId="0" borderId="5" xfId="0" applyNumberFormat="1" applyFont="1" applyFill="1" applyBorder="1"/>
    <x:xf numFmtId="200" fontId="6" fillId="0" borderId="5" xfId="0" applyNumberFormat="1" applyFont="1" applyFill="1" applyBorder="1"/>
    <x:xf numFmtId="200" fontId="6" fillId="5" borderId="5" xfId="0" applyNumberFormat="1" applyFont="1" applyFill="1" applyBorder="1"/>
    <x:xf numFmtId="201" fontId="5" fillId="5" borderId="6" xfId="0" applyNumberFormat="1" applyFont="1" applyFill="1" applyBorder="1"/>
    <x:xf numFmtId="201" fontId="6" fillId="0" borderId="6" xfId="0" applyNumberFormat="1" applyFont="1" applyFill="1" applyBorder="1"/>
    <x:xf numFmtId="0" fontId="6" fillId="0" borderId="6" xfId="0" applyNumberFormat="1" applyFont="1" applyFill="1" applyBorder="1"/>
    <x:xf numFmtId="202" fontId="6" fillId="0" borderId="6" xfId="0" applyNumberFormat="1" applyFont="1" applyFill="1" applyBorder="1"/>
    <x:xf numFmtId="200" fontId="6" fillId="0" borderId="6" xfId="0" applyNumberFormat="1" applyFont="1" applyFill="1" applyBorder="1"/>
    <x:xf numFmtId="200" fontId="6" fillId="5" borderId="6" xfId="0" applyNumberFormat="1" applyFont="1" applyFill="1" applyBorder="1"/>
    <x:xf numFmtId="203" fontId="6" fillId="0" borderId="0" xfId="0" applyNumberFormat="1" applyFont="1" applyFill="1" applyBorder="1"/>
    <x:xf numFmtId="203" fontId="6" fillId="0" borderId="4" xfId="0" applyNumberFormat="1" applyFont="1" applyFill="1" applyBorder="1"/>
    <x:xf numFmtId="203" fontId="6" fillId="0" borderId="5" xfId="0" applyNumberFormat="1" applyFont="1" applyFill="1" applyBorder="1"/>
    <x:xf numFmtId="203" fontId="6" fillId="0" borderId="6" xfId="0" applyNumberFormat="1" applyFont="1" applyFill="1" applyBorder="1"/>
    <x:xf numFmtId="0" fontId="7" fillId="5" borderId="0" xfId="0" applyNumberFormat="1" applyFont="1" applyFill="1" applyBorder="1"/>
    <x:xf numFmtId="0" fontId="8" fillId="5" borderId="0" xfId="0" applyNumberFormat="1" applyFont="1" applyFill="1" applyBorder="1"/>
    <x:xf numFmtId="201" fontId="8" fillId="5" borderId="0" xfId="0" applyNumberFormat="1" applyFont="1" applyFill="1" applyBorder="1"/>
    <x:xf numFmtId="0" fontId="4" fillId="4" borderId="0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1" fillId="7" borderId="0" xfId="0" applyNumberFormat="1" applyFont="1" applyFill="1" applyBorder="1"/>
    <x:xf numFmtId="0" fontId="9" fillId="7" borderId="0" xfId="0" applyNumberFormat="1" applyFont="1" applyFill="1" applyBorder="1"/>
    <x:xf numFmtId="0" fontId="9" fillId="7" borderId="7" xfId="0" applyNumberFormat="1" applyFont="1" applyFill="1" applyBorder="1"/>
    <x:xf numFmtId="0" fontId="9" fillId="7" borderId="8" xfId="0" applyNumberFormat="1" applyFont="1" applyFill="1" applyBorder="1"/>
    <x:xf numFmtId="0" fontId="9" fillId="7" borderId="9" xfId="0" applyNumberFormat="1" applyFont="1" applyFill="1" applyBorder="1"/>
    <x:xf numFmtId="0" fontId="9" fillId="7" borderId="10" xfId="0" applyNumberFormat="1" applyFont="1" applyFill="1" applyBorder="1"/>
    <x:xf numFmtId="0" fontId="9" fillId="7" borderId="7" xfId="0" applyNumberFormat="1" applyFont="1" applyFill="1" applyBorder="1" applyAlignment="1">
      <x:alignment horizontal="center"/>
    </x:xf>
    <x:xf numFmtId="0" fontId="9" fillId="7" borderId="8" xfId="0" applyNumberFormat="1" applyFont="1" applyFill="1" applyBorder="1" applyAlignment="1">
      <x:alignment horizontal="center"/>
    </x:xf>
    <x:xf numFmtId="0" fontId="9" fillId="7" borderId="9" xfId="0" applyNumberFormat="1" applyFont="1" applyFill="1" applyBorder="1" applyAlignment="1">
      <x:alignment horizontal="center"/>
    </x:xf>
    <x:xf numFmtId="0" fontId="9" fillId="7" borderId="10" xfId="0" applyNumberFormat="1" applyFont="1" applyFill="1" applyBorder="1" applyAlignment="1">
      <x:alignment horizontal="center"/>
    </x:xf>
    <x:xf numFmtId="0" fontId="9" fillId="7" borderId="7" xfId="0" applyNumberFormat="1" applyFont="1" applyFill="1" applyBorder="1" applyAlignment="1">
      <x:alignment horizontal="center" vertical="center"/>
    </x:xf>
    <x:xf numFmtId="0" fontId="9" fillId="7" borderId="8" xfId="0" applyNumberFormat="1" applyFont="1" applyFill="1" applyBorder="1" applyAlignment="1">
      <x:alignment horizontal="center" vertical="center"/>
    </x:xf>
    <x:xf numFmtId="0" fontId="9" fillId="7" borderId="9" xfId="0" applyNumberFormat="1" applyFont="1" applyFill="1" applyBorder="1" applyAlignment="1">
      <x:alignment horizontal="center" vertical="center"/>
    </x:xf>
    <x:xf numFmtId="0" fontId="9" fillId="7" borderId="10" xfId="0" applyNumberFormat="1" applyFont="1" applyFill="1" applyBorder="1" applyAlignment="1">
      <x:alignment horizontal="center" vertical="center"/>
    </x:xf>
    <x:xf numFmtId="200" fontId="9" fillId="7" borderId="7" xfId="0" applyNumberFormat="1" applyFont="1" applyFill="1" applyBorder="1" applyAlignment="1">
      <x:alignment horizontal="center" vertical="center"/>
    </x:xf>
    <x:xf numFmtId="200" fontId="9" fillId="7" borderId="8" xfId="0" applyNumberFormat="1" applyFont="1" applyFill="1" applyBorder="1" applyAlignment="1">
      <x:alignment horizontal="center" vertical="center"/>
    </x:xf>
    <x:xf numFmtId="200" fontId="9" fillId="7" borderId="9" xfId="0" applyNumberFormat="1" applyFont="1" applyFill="1" applyBorder="1" applyAlignment="1">
      <x:alignment horizontal="center" vertical="center"/>
    </x:xf>
    <x:xf numFmtId="200" fontId="9" fillId="7" borderId="10" xfId="0" applyNumberFormat="1" applyFont="1" applyFill="1" applyBorder="1" applyAlignment="1">
      <x:alignment horizontal="center" vertical="center"/>
    </x:xf>
    <x:xf numFmtId="204" fontId="9" fillId="7" borderId="7" xfId="0" applyNumberFormat="1" applyFont="1" applyFill="1" applyBorder="1" applyAlignment="1">
      <x:alignment horizontal="center" vertical="center"/>
    </x:xf>
    <x:xf numFmtId="204" fontId="9" fillId="7" borderId="8" xfId="0" applyNumberFormat="1" applyFont="1" applyFill="1" applyBorder="1" applyAlignment="1">
      <x:alignment horizontal="center" vertical="center"/>
    </x:xf>
    <x:xf numFmtId="204" fontId="9" fillId="7" borderId="9" xfId="0" applyNumberFormat="1" applyFont="1" applyFill="1" applyBorder="1" applyAlignment="1">
      <x:alignment horizontal="center" vertical="center"/>
    </x:xf>
    <x:xf numFmtId="204" fontId="9" fillId="7" borderId="10" xfId="0" applyNumberFormat="1" applyFont="1" applyFill="1" applyBorder="1" applyAlignment="1">
      <x:alignment horizontal="center" vertical="center"/>
    </x:xf>
    <x:xf numFmtId="0" fontId="9" fillId="7" borderId="6" xfId="0" applyNumberFormat="1" applyFont="1" applyFill="1" applyBorder="1"/>
    <x:xf numFmtId="0" fontId="9" fillId="7" borderId="4" xfId="0" applyNumberFormat="1" applyFont="1" applyFill="1" applyBorder="1"/>
    <x:xf numFmtId="0" fontId="9" fillId="7" borderId="6" xfId="0" applyNumberFormat="1" applyFont="1" applyFill="1" applyBorder="1" applyAlignment="1">
      <x:alignment horizontal="center"/>
    </x:xf>
    <x:xf numFmtId="0" fontId="9" fillId="7" borderId="4" xfId="0" applyNumberFormat="1" applyFont="1" applyFill="1" applyBorder="1" applyAlignment="1">
      <x:alignment horizontal="center"/>
    </x:xf>
    <x:xf numFmtId="0" fontId="9" fillId="7" borderId="6" xfId="0" applyNumberFormat="1" applyFont="1" applyFill="1" applyBorder="1" applyAlignment="1">
      <x:alignment horizontal="center" vertical="center"/>
    </x:xf>
    <x:xf numFmtId="0" fontId="9" fillId="7" borderId="4" xfId="0" applyNumberFormat="1" applyFont="1" applyFill="1" applyBorder="1" applyAlignment="1">
      <x:alignment horizontal="center" vertical="center"/>
    </x:xf>
    <x:xf numFmtId="202" fontId="9" fillId="7" borderId="7" xfId="0" applyNumberFormat="1" applyFont="1" applyFill="1" applyBorder="1" applyAlignment="1">
      <x:alignment horizontal="center" vertical="center"/>
    </x:xf>
    <x:xf numFmtId="202" fontId="9" fillId="7" borderId="6" xfId="0" applyNumberFormat="1" applyFont="1" applyFill="1" applyBorder="1" applyAlignment="1">
      <x:alignment horizontal="center" vertical="center"/>
    </x:xf>
    <x:xf numFmtId="202" fontId="9" fillId="7" borderId="8" xfId="0" applyNumberFormat="1" applyFont="1" applyFill="1" applyBorder="1" applyAlignment="1">
      <x:alignment horizontal="center" vertical="center"/>
    </x:xf>
    <x:xf numFmtId="202" fontId="9" fillId="7" borderId="9" xfId="0" applyNumberFormat="1" applyFont="1" applyFill="1" applyBorder="1" applyAlignment="1">
      <x:alignment horizontal="center" vertical="center"/>
    </x:xf>
    <x:xf numFmtId="202" fontId="9" fillId="7" borderId="4" xfId="0" applyNumberFormat="1" applyFont="1" applyFill="1" applyBorder="1" applyAlignment="1">
      <x:alignment horizontal="center" vertical="center"/>
    </x:xf>
    <x:xf numFmtId="202" fontId="9" fillId="7" borderId="10" xfId="0" applyNumberFormat="1" applyFont="1" applyFill="1" applyBorder="1" applyAlignment="1">
      <x:alignment horizontal="center" vertical="center"/>
    </x:xf>
    <x:xf numFmtId="200" fontId="9" fillId="7" borderId="6" xfId="0" applyNumberFormat="1" applyFont="1" applyFill="1" applyBorder="1" applyAlignment="1">
      <x:alignment horizontal="center" vertical="center"/>
    </x:xf>
    <x:xf numFmtId="200" fontId="9" fillId="7" borderId="4" xfId="0" applyNumberFormat="1" applyFont="1" applyFill="1" applyBorder="1" applyAlignment="1">
      <x:alignment horizontal="center" vertical="center"/>
    </x:xf>
    <x:xf numFmtId="0" fontId="6" fillId="0" borderId="11" xfId="0" applyNumberFormat="1" applyFont="1" applyFill="1" applyBorder="1"/>
    <x:xf numFmtId="0" fontId="8" fillId="0" borderId="0" xfId="0" applyNumberFormat="1" applyFont="1" applyFill="1" applyBorder="1"/>
    <x:xf numFmtId="0" fontId="8" fillId="0" borderId="5" xfId="0" applyNumberFormat="1" applyFont="1" applyFill="1" applyBorder="1"/>
    <x:xf numFmtId="0" fontId="1" fillId="0" borderId="11" xfId="0" applyNumberFormat="1" applyFont="1" applyFill="1" applyBorder="1"/>
    <x:xf numFmtId="0" fontId="10" fillId="7" borderId="0" xfId="0" applyNumberFormat="1" applyFont="1" applyFill="1" applyBorder="1"/>
    <x:xf numFmtId="0" fontId="10" fillId="7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vertical="center" wrapText="1"/>
    </x:xf>
    <x:xf numFmtId="0" fontId="1" fillId="6" borderId="4" xfId="0" applyNumberFormat="1" applyFont="1" applyFill="1" applyBorder="1" applyAlignment="1">
      <x:alignment wrapText="1"/>
    </x:xf>
    <x:xf numFmtId="0" fontId="1" fillId="6" borderId="5" xfId="0" applyNumberFormat="1" applyFont="1" applyFill="1" applyBorder="1" applyAlignment="1">
      <x:alignment wrapText="1"/>
    </x:xf>
    <x:xf numFmtId="0" fontId="1" fillId="6" borderId="6" xfId="0" applyNumberFormat="1" applyFont="1" applyFill="1" applyBorder="1" applyAlignment="1">
      <x:alignment wrapText="1"/>
    </x:xf>
    <x:xf numFmtId="0" fontId="1" fillId="6" borderId="4" xfId="0" applyNumberFormat="1" applyFont="1" applyFill="1" applyBorder="1" applyAlignment="1">
      <x:alignment vertical="center" wrapText="1"/>
    </x:xf>
    <x:xf numFmtId="0" fontId="1" fillId="6" borderId="5" xfId="0" applyNumberFormat="1" applyFont="1" applyFill="1" applyBorder="1" applyAlignment="1">
      <x:alignment vertical="center" wrapText="1"/>
    </x:xf>
    <x:xf numFmtId="0" fontId="1" fillId="6" borderId="6" xfId="0" applyNumberFormat="1" applyFont="1" applyFill="1" applyBorder="1" applyAlignment="1">
      <x:alignment vertical="center" wrapText="1"/>
    </x:xf>
    <x:xf numFmtId="0" fontId="11" fillId="5" borderId="0" xfId="0" applyNumberFormat="1" applyFont="1" applyFill="1" applyBorder="1"/>
    <x:xf numFmtId="0" fontId="11" fillId="5" borderId="7" xfId="0" applyNumberFormat="1" applyFont="1" applyFill="1" applyBorder="1"/>
    <x:xf numFmtId="0" fontId="11" fillId="5" borderId="6" xfId="0" applyNumberFormat="1" applyFont="1" applyFill="1" applyBorder="1"/>
    <x:xf numFmtId="0" fontId="11" fillId="5" borderId="8" xfId="0" applyNumberFormat="1" applyFont="1" applyFill="1" applyBorder="1"/>
    <x:xf numFmtId="0" fontId="11" fillId="5" borderId="12" xfId="0" applyNumberFormat="1" applyFont="1" applyFill="1" applyBorder="1"/>
    <x:xf numFmtId="0" fontId="11" fillId="5" borderId="13" xfId="0" applyNumberFormat="1" applyFont="1" applyFill="1" applyBorder="1"/>
    <x:xf numFmtId="0" fontId="11" fillId="5" borderId="9" xfId="0" applyNumberFormat="1" applyFont="1" applyFill="1" applyBorder="1"/>
    <x:xf numFmtId="0" fontId="11" fillId="5" borderId="4" xfId="0" applyNumberFormat="1" applyFont="1" applyFill="1" applyBorder="1"/>
    <x:xf numFmtId="0" fontId="11" fillId="5" borderId="10" xfId="0" applyNumberFormat="1" applyFont="1" applyFill="1" applyBorder="1"/>
    <x:xf numFmtId="0" fontId="11" fillId="5" borderId="7" xfId="0" applyNumberFormat="1" applyFont="1" applyFill="1" applyBorder="1" applyAlignment="1">
      <x:alignment wrapText="1"/>
    </x:xf>
    <x:xf numFmtId="0" fontId="11" fillId="5" borderId="6" xfId="0" applyNumberFormat="1" applyFont="1" applyFill="1" applyBorder="1" applyAlignment="1">
      <x:alignment wrapText="1"/>
    </x:xf>
    <x:xf numFmtId="0" fontId="11" fillId="5" borderId="8" xfId="0" applyNumberFormat="1" applyFont="1" applyFill="1" applyBorder="1" applyAlignment="1">
      <x:alignment wrapText="1"/>
    </x:xf>
    <x:xf numFmtId="0" fontId="11" fillId="5" borderId="12" xfId="0" applyNumberFormat="1" applyFont="1" applyFill="1" applyBorder="1" applyAlignment="1">
      <x:alignment wrapText="1"/>
    </x:xf>
    <x:xf numFmtId="0" fontId="11" fillId="5" borderId="0" xfId="0" applyNumberFormat="1" applyFont="1" applyFill="1" applyBorder="1" applyAlignment="1">
      <x:alignment wrapText="1"/>
    </x:xf>
    <x:xf numFmtId="0" fontId="11" fillId="5" borderId="13" xfId="0" applyNumberFormat="1" applyFont="1" applyFill="1" applyBorder="1" applyAlignment="1">
      <x:alignment wrapText="1"/>
    </x:xf>
    <x:xf numFmtId="0" fontId="11" fillId="5" borderId="9" xfId="0" applyNumberFormat="1" applyFont="1" applyFill="1" applyBorder="1" applyAlignment="1">
      <x:alignment wrapText="1"/>
    </x:xf>
    <x:xf numFmtId="0" fontId="11" fillId="5" borderId="4" xfId="0" applyNumberFormat="1" applyFont="1" applyFill="1" applyBorder="1" applyAlignment="1">
      <x:alignment wrapText="1"/>
    </x:xf>
    <x:xf numFmtId="0" fontId="11" fillId="5" borderId="10" xfId="0" applyNumberFormat="1" applyFont="1" applyFill="1" applyBorder="1" applyAlignment="1">
      <x:alignment wrapText="1"/>
    </x:xf>
    <x:xf numFmtId="0" fontId="11" fillId="5" borderId="7" xfId="0" applyNumberFormat="1" applyFont="1" applyFill="1" applyBorder="1" applyAlignment="1">
      <x:alignment vertical="center" wrapText="1"/>
    </x:xf>
    <x:xf numFmtId="0" fontId="11" fillId="5" borderId="6" xfId="0" applyNumberFormat="1" applyFont="1" applyFill="1" applyBorder="1" applyAlignment="1">
      <x:alignment vertical="center" wrapText="1"/>
    </x:xf>
    <x:xf numFmtId="0" fontId="11" fillId="5" borderId="8" xfId="0" applyNumberFormat="1" applyFont="1" applyFill="1" applyBorder="1" applyAlignment="1">
      <x:alignment vertical="center" wrapText="1"/>
    </x:xf>
    <x:xf numFmtId="0" fontId="11" fillId="5" borderId="12" xfId="0" applyNumberFormat="1" applyFont="1" applyFill="1" applyBorder="1" applyAlignment="1">
      <x:alignment vertical="center" wrapText="1"/>
    </x:xf>
    <x:xf numFmtId="0" fontId="11" fillId="5" borderId="0" xfId="0" applyNumberFormat="1" applyFont="1" applyFill="1" applyBorder="1" applyAlignment="1">
      <x:alignment vertical="center" wrapText="1"/>
    </x:xf>
    <x:xf numFmtId="0" fontId="11" fillId="5" borderId="13" xfId="0" applyNumberFormat="1" applyFont="1" applyFill="1" applyBorder="1" applyAlignment="1">
      <x:alignment vertical="center" wrapText="1"/>
    </x:xf>
    <x:xf numFmtId="0" fontId="11" fillId="5" borderId="9" xfId="0" applyNumberFormat="1" applyFont="1" applyFill="1" applyBorder="1" applyAlignment="1">
      <x:alignment vertical="center" wrapText="1"/>
    </x:xf>
    <x:xf numFmtId="0" fontId="11" fillId="5" borderId="4" xfId="0" applyNumberFormat="1" applyFont="1" applyFill="1" applyBorder="1" applyAlignment="1">
      <x:alignment vertical="center" wrapText="1"/>
    </x:xf>
    <x:xf numFmtId="0" fontId="11" fillId="5" borderId="10" xfId="0" applyNumberFormat="1" applyFont="1" applyFill="1" applyBorder="1" applyAlignment="1">
      <x:alignment vertical="center" wrapText="1"/>
    </x:xf>
    <x:xf numFmtId="0" fontId="1" fillId="8" borderId="0" xfId="0" applyNumberFormat="1" applyFont="1" applyFill="1" applyBorder="1"/>
    <x:xf numFmtId="0" fontId="0" fillId="9" borderId="0" xfId="0" applyNumberFormat="1" applyFont="1" applyFill="1" applyBorder="1"/>
    <x:xf numFmtId="0" fontId="12" fillId="9" borderId="0" xfId="0" applyNumberFormat="1" applyFont="1" applyFill="1" applyBorder="1"/>
    <x:xf numFmtId="0" fontId="12" fillId="9" borderId="0" xfId="0" applyNumberFormat="1" applyFont="1" applyFill="1" applyBorder="1" applyAlignment="1">
      <x:alignment wrapText="1"/>
    </x:xf>
    <x:xf numFmtId="0" fontId="13" fillId="2" borderId="0" xfId="0" applyNumberFormat="1" applyFont="1" applyFill="1" applyBorder="1" applyAlignment="1">
      <x:alignment vertical="center"/>
    </x:xf>
    <x:xf numFmtId="0" fontId="14" fillId="3" borderId="0" xfId="0" applyNumberFormat="1" applyFont="1" applyFill="1" applyBorder="1" applyAlignment="1">
      <x:alignment vertical="center" wrapText="1"/>
    </x:xf>
    <x:xf numFmtId="0" fontId="13" fillId="5" borderId="0" xfId="0" applyNumberFormat="1" applyFont="1" applyFill="1" applyBorder="1"/>
    <x:xf numFmtId="201" fontId="13" fillId="5" borderId="0" xfId="0" applyNumberFormat="1" applyFont="1" applyFill="1" applyBorder="1"/>
    <x:xf numFmtId="0" fontId="15" fillId="0" borderId="0" xfId="0" applyNumberFormat="1" applyFont="1" applyFill="1" applyBorder="1"/>
    <x:xf numFmtId="0" fontId="13" fillId="4" borderId="1" xfId="0" applyNumberFormat="1" applyFont="1" applyFill="1" applyBorder="1" applyAlignment="1">
      <x:alignment horizontal="center" vertical="center" wrapText="1"/>
    </x:xf>
    <x:xf numFmtId="0" fontId="13" fillId="4" borderId="2" xfId="0" applyNumberFormat="1" applyFont="1" applyFill="1" applyBorder="1" applyAlignment="1">
      <x:alignment horizontal="center" vertical="center" wrapText="1"/>
    </x:xf>
    <x:xf numFmtId="0" fontId="15" fillId="0" borderId="5" xfId="0" applyNumberFormat="1" applyFont="1" applyFill="1" applyBorder="1"/>
    <x:xf numFmtId="0" fontId="15" fillId="0" borderId="11" xfId="0" applyNumberFormat="1" applyFont="1" applyFill="1" applyBorder="1"/>
    <x:xf numFmtId="0" fontId="13" fillId="0" borderId="5" xfId="0" applyNumberFormat="1" applyFont="1" applyFill="1" applyBorder="1"/>
    <x:xf numFmtId="0" fontId="15" fillId="9" borderId="0" xfId="0" applyNumberFormat="1" applyFont="1" applyFill="1" applyBorder="1"/>
    <x:xf numFmtId="0" fontId="16" fillId="9" borderId="0" xfId="0" applyNumberFormat="1" applyFont="1" applyFill="1" applyBorder="1"/>
    <x:xf numFmtId="0" fontId="16" fillId="9" borderId="0" xfId="0" applyNumberFormat="1" applyFont="1" applyFill="1" applyBorder="1" applyAlignment="1">
      <x:alignment wrapText="1"/>
    </x:xf>
    <x:xf numFmtId="0" fontId="15" fillId="10" borderId="0" xfId="0" applyNumberFormat="1" applyFont="1" applyFill="1" applyBorder="1"/>
    <x:xf numFmtId="0" fontId="17" fillId="10" borderId="0" xfId="0" applyNumberFormat="1" applyFont="1" applyFill="1" applyBorder="1"/>
    <x:xf numFmtId="0" fontId="18" fillId="9" borderId="0" xfId="0" applyNumberFormat="1" applyFont="1" applyFill="1" applyBorder="1"/>
    <x:xf numFmtId="201" fontId="0" fillId="0" borderId="0" xfId="0" applyNumberFormat="1" applyFont="1" applyFill="1" applyBorder="1"/>
    <x:xf numFmtId="0" fontId="0" fillId="8" borderId="0" xfId="0" applyNumberFormat="1" applyFont="1" applyFill="1" applyBorder="1"/>
    <x:xf numFmtId="201" fontId="0" fillId="8" borderId="0" xfId="0" applyNumberFormat="1" applyFont="1" applyFill="1" applyBorder="1"/>
    <x:xf numFmtId="0" fontId="19" fillId="8" borderId="0" xfId="0" applyNumberFormat="1" applyFont="1" applyFill="1" applyBorder="1"/>
    <x:xf numFmtId="201" fontId="19" fillId="8" borderId="0" xfId="0" applyNumberFormat="1" applyFont="1" applyFill="1" applyBorder="1"/>
    <x:xf numFmtId="204" fontId="17" fillId="10" borderId="0" xfId="0" applyNumberFormat="1" applyFont="1" applyFill="1" applyBorder="1"/>
    <x:xf numFmtId="202" fontId="17" fillId="10" borderId="0" xfId="0" applyNumberFormat="1" applyFont="1" applyFill="1" applyBorder="1"/>
    <x:xf numFmtId="0" fontId="13" fillId="9" borderId="0" xfId="0" applyNumberFormat="1" applyFont="1" applyFill="1" applyBorder="1" applyAlignment="1">
      <x:alignment vertical="center"/>
    </x:xf>
    <x:xf numFmtId="0" fontId="13" fillId="9" borderId="1" xfId="0" applyNumberFormat="1" applyFont="1" applyFill="1" applyBorder="1" applyAlignment="1">
      <x:alignment horizontal="center" vertical="center" wrapText="1"/>
    </x:xf>
    <x:xf numFmtId="0" fontId="13" fillId="9" borderId="2" xfId="0" applyNumberFormat="1" applyFont="1" applyFill="1" applyBorder="1" applyAlignment="1">
      <x:alignment horizontal="center" vertical="center" wrapText="1"/>
    </x:xf>
    <x:xf numFmtId="0" fontId="16" fillId="9" borderId="0" xfId="0" applyNumberFormat="1" applyFont="1" applyFill="1" applyBorder="1" applyAlignment="1">
      <x:alignment vertical="center"/>
    </x:xf>
    <x:xf numFmtId="0" fontId="16" fillId="9" borderId="1" xfId="0" applyNumberFormat="1" applyFont="1" applyFill="1" applyBorder="1" applyAlignment="1">
      <x:alignment horizontal="center" vertical="center" wrapText="1"/>
    </x:xf>
    <x:xf numFmtId="0" fontId="16" fillId="9" borderId="2" xfId="0" applyNumberFormat="1" applyFont="1" applyFill="1" applyBorder="1" applyAlignment="1">
      <x:alignment horizontal="center" vertical="center" wrapText="1"/>
    </x:xf>
    <x:xf numFmtId="0" fontId="19" fillId="0" borderId="0" xfId="0" applyNumberFormat="1" applyFont="1" applyFill="1" applyBorder="1"/>
    <x:xf numFmtId="0" fontId="19" fillId="0" borderId="0" xfId="0" applyNumberFormat="1" applyFont="1" applyFill="1" applyBorder="1" applyAlignment="1">
      <x:alignment wrapText="1"/>
    </x:xf>
    <x:xf numFmtId="0" fontId="15" fillId="11" borderId="0" xfId="0" applyNumberFormat="1" applyFont="1" applyFill="1" applyBorder="1"/>
    <x:xf numFmtId="0" fontId="15" fillId="11" borderId="0" xfId="0" applyNumberFormat="1" applyFont="1" applyFill="1" applyBorder="1" applyAlignment="1">
      <x:alignment wrapText="1"/>
    </x:xf>
    <x:xf numFmtId="205" fontId="15" fillId="11" borderId="0" xfId="0" applyNumberFormat="1" applyFont="1" applyFill="1" applyBorder="1" applyAlignment="1">
      <x:alignment wrapText="1"/>
    </x:xf>
    <x:xf numFmtId="0" fontId="15" fillId="12" borderId="0" xfId="0" applyNumberFormat="1" applyFont="1" applyFill="1" applyBorder="1"/>
    <x:xf numFmtId="0" fontId="15" fillId="12" borderId="0" xfId="0" applyNumberFormat="1" applyFont="1" applyFill="1" applyBorder="1" applyAlignment="1">
      <x:alignment wrapText="1"/>
    </x:xf>
    <x:xf numFmtId="205" fontId="15" fillId="12" borderId="0" xfId="0" applyNumberFormat="1" applyFont="1" applyFill="1" applyBorder="1" applyAlignment="1">
      <x:alignment wrapText="1"/>
    </x:xf>
    <x:xf numFmtId="0" fontId="1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0" fillId="10" borderId="0" xfId="0" applyNumberFormat="1" applyFont="1" applyFill="1" applyBorder="1"/>
  </x:cellXfs>
  <x:cellStyles count="1">
    <x:cellStyle name="Normal" xfId="0"/>
  </x:cellStyles>
  <x:dxfs count="7">
    <x:dxf>
      <x:font>
        <x:b/>
        <x:color rgb="FFA12828"/>
      </x:font>
      <x:fill>
        <x:patternFill>
          <x:bgColor rgb="FFFCE4E4"/>
        </x:patternFill>
      </x:fill>
    </x:dxf>
    <x:dxf>
      <x:font>
        <x:b/>
        <x:color rgb="FFA12828"/>
      </x:font>
      <x:fill>
        <x:patternFill>
          <x:bgColor rgb="FFFCE4E4"/>
        </x:patternFill>
      </x:fill>
    </x:dxf>
    <x:dxf>
      <x:font>
        <x:b/>
        <x:color rgb="FFA12828"/>
      </x:font>
      <x:fill>
        <x:patternFill>
          <x:bgColor rgb="FFFCE4E4"/>
        </x:patternFill>
      </x:fill>
    </x:dxf>
    <x:dxf>
      <x:font>
        <x:b/>
        <x:color rgb="FF9A4F00"/>
      </x:font>
      <x:fill>
        <x:patternFill>
          <x:bgColor rgb="FFFCE9D8"/>
        </x:patternFill>
      </x:fill>
    </x:dxf>
    <x:dxf>
      <x:font>
        <x:b/>
        <x:color rgb="FFA12828"/>
      </x:font>
      <x:fill>
        <x:patternFill>
          <x:bgColor rgb="FFFCE4E4"/>
        </x:patternFill>
      </x:fill>
    </x:dxf>
    <x:dxf>
      <x:font>
        <x:b/>
        <x:color rgb="FF9A4F00"/>
      </x:font>
      <x:fill>
        <x:patternFill>
          <x:bgColor rgb="FFFCE9D8"/>
        </x:patternFill>
      </x:fill>
    </x:dxf>
    <x:dxf>
      <x:font>
        <x:b/>
        <x:color rgb="FFA12828"/>
      </x:font>
      <x:fill>
        <x:patternFill>
          <x:bgColor rgb="FFFCE4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f27529be6e443c" /><Relationship Type="http://schemas.openxmlformats.org/officeDocument/2006/relationships/theme" Target="/xl/theme/theme1.xml" Id="R5ae0a4c65f124cea" /><Relationship Type="http://schemas.openxmlformats.org/officeDocument/2006/relationships/sharedStrings" Target="/xl/sharedStrings.xml" Id="Rdd2996f48861476e" /><Relationship Type="http://schemas.openxmlformats.org/officeDocument/2006/relationships/worksheet" Target="/xl/worksheets/sheet1.xml" Id="R3f6482edd271440f" /><Relationship Type="http://schemas.openxmlformats.org/officeDocument/2006/relationships/worksheet" Target="/xl/worksheets/sheet2.xml" Id="R63bd96e645ff4151" /><Relationship Type="http://schemas.openxmlformats.org/officeDocument/2006/relationships/worksheet" Target="/xl/worksheets/sheet3.xml" Id="R65ad256bdd5043e5" /><Relationship Type="http://schemas.openxmlformats.org/officeDocument/2006/relationships/worksheet" Target="/xl/worksheets/sheet4.xml" Id="Rd8cac17827d54bb0" /><Relationship Type="http://schemas.openxmlformats.org/officeDocument/2006/relationships/worksheet" Target="/xl/worksheets/sheet5.xml" Id="R73532ff9ff864a1d" /><Relationship Type="http://schemas.openxmlformats.org/officeDocument/2006/relationships/worksheet" Target="/xl/worksheets/sheet6.xml" Id="R769f85a645b4498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532c5ae835be4c6f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Backlog por prioridade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Abertos</c:v>
          </c:tx>
          <c:spPr>
            <a:solidFill xmlns:a="http://schemas.openxmlformats.org/drawingml/2006/main">
              <a:srgbClr val="216C83"/>
            </a:solidFill>
          </c:spPr>
          <c:invertIfNegative val="0"/>
          <c:cat>
            <c:strRef>
              <c:f>'Dashboard'!$A$11:$A$14</c:f>
              <c:strCache>
                <c:ptCount val="0"/>
              </c:strCache>
            </c:strRef>
          </c:cat>
          <c:val>
            <c:numRef>
              <c:f>'Dashboard'!$B$11:$B$14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4</xdr:col>
      <xdr:colOff>0</xdr:colOff>
      <xdr:row>8</xdr:row>
      <xdr:rowOff>0</xdr:rowOff>
    </xdr:from>
    <xdr:to>
      <xdr:col>13</xdr:col>
      <xdr:colOff>0</xdr:colOff>
      <xdr:row>22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32c5ae835be4c6f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TabelaChamados" displayName="TabelaChamados" ref="A4:W204" headerRowCount="1" totalsRowCount="0" totalsRowShown="0">
  <x:tableColumns count="23">
    <x:tableColumn id="1" name="ID"/>
    <x:tableColumn id="2" name="Abertura"/>
    <x:tableColumn id="3" name="Solicitante"/>
    <x:tableColumn id="4" name="Área"/>
    <x:tableColumn id="5" name="Categoria"/>
    <x:tableColumn id="6" name="Assunto"/>
    <x:tableColumn id="7" name="Canal"/>
    <x:tableColumn id="8" name="Prioridade"/>
    <x:tableColumn id="9" name="Responsável"/>
    <x:tableColumn id="10" name="Status"/>
    <x:tableColumn id="11" name="Prazo 1ª resposta"/>
    <x:tableColumn id="12" name="1ª resposta"/>
    <x:tableColumn id="13" name="SLA resposta"/>
    <x:tableColumn id="14" name="Prazo resolução"/>
    <x:tableColumn id="15" name="Resolução"/>
    <x:tableColumn id="16" name="SLA resolução"/>
    <x:tableColumn id="17" name="Horas em aberto"/>
    <x:tableColumn id="18" name="Idade (dias)"/>
    <x:tableColumn id="19" name="Impacto (1-5)"/>
    <x:tableColumn id="20" name="Urgência (1-5)"/>
    <x:tableColumn id="21" name="Score"/>
    <x:tableColumn id="22" name="Ação recomendada"/>
    <x:tableColumn id="23" name="Observações"/>
  </x:tableColumns>
  <x:tableStyleInfo name="TableStyleMedium4" showFirstColumn="0" showLastColumn="0" showRowStripes="1" showColumnStripes="0"/>
</x:table>
</file>

<file path=xl/tables/table2.xml><?xml version="1.0" encoding="utf-8"?>
<x:table xmlns:x="http://schemas.openxmlformats.org/spreadsheetml/2006/main" id="2" name="TabelaHistoricoChamados" displayName="TabelaHistoricoChamados" ref="A4:G204" headerRowCount="1" totalsRowCount="0" totalsRowShown="0">
  <x:tableColumns count="7">
    <x:tableColumn id="1" name="ID chamado"/>
    <x:tableColumn id="2" name="Data e hora"/>
    <x:tableColumn id="3" name="Responsável"/>
    <x:tableColumn id="4" name="Etapa"/>
    <x:tableColumn id="5" name="Comentário"/>
    <x:tableColumn id="6" name="Próximo retorno"/>
    <x:tableColumn id="7" name="Duração (min)"/>
  </x:tableColumns>
  <x:tableStyleInfo name="TableStyleMedium4" showFirstColumn="0" showLastColumn="0" showRowStripes="1" showColumnStripes="0"/>
</x:table>
</file>

<file path=xl/tables/table3.xml><?xml version="1.0" encoding="utf-8"?>
<x:table xmlns:x="http://schemas.openxmlformats.org/spreadsheetml/2006/main" id="3" name="TabelaEquipeChamados" displayName="TabelaEquipeChamados" ref="A4:H12" headerRowCount="1" totalsRowCount="0" totalsRowShown="0">
  <x:tableColumns count="8">
    <x:tableColumn id="1" name="Responsável"/>
    <x:tableColumn id="2" name="Função"/>
    <x:tableColumn id="3" name="Capacidade"/>
    <x:tableColumn id="4" name="Abertos"/>
    <x:tableColumn id="5" name="Críticos"/>
    <x:tableColumn id="6" name="SLA atrasado"/>
    <x:tableColumn id="7" name="Utilização"/>
    <x:tableColumn id="8" name="Situação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8ed9611d61d3483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788349491b747b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6ee16bc41288440c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efacc38d8dc340dc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4" hidden="0" customWidth="1"/>
  </x:cols>
  <x:sheetData>
    <x:row r="1" ht="24" customHeight="1">
      <x:c r="A1" s="170" t="str">
        <x:v>Chamados e SLA | reunião de suporte | v2.0</x:v>
      </x:c>
      <x:c r="B1" s="170"/>
      <x:c r="C1" s="170"/>
      <x:c r="D1" s="170"/>
      <x:c r="E1" s="170"/>
      <x:c r="F1" s="170"/>
      <x:c r="G1" s="170"/>
      <x:c r="H1" s="170"/>
      <x:c r="I1" s="170"/>
      <x:c r="J1" s="170"/>
      <x:c r="K1" s="170"/>
      <x:c r="L1" s="170"/>
      <x:c r="M1" s="170"/>
      <x:c r="N1"/>
      <x:c r="O1"/>
      <x:c r="P1"/>
      <x:c r="Q1"/>
      <x:c r="R1"/>
      <x:c r="S1"/>
      <x:c r="T1"/>
      <x:c r="U1"/>
      <x:c r="V1"/>
      <x:c r="W1"/>
    </x:row>
    <x:row r="2" ht="24" customHeight="1">
      <x:c r="A2" s="170"/>
      <x:c r="B2" s="170"/>
      <x:c r="C2" s="170"/>
      <x:c r="D2" s="170"/>
      <x:c r="E2" s="170"/>
      <x:c r="F2" s="170"/>
      <x:c r="G2" s="170"/>
      <x:c r="H2" s="170"/>
      <x:c r="I2" s="170"/>
      <x:c r="J2" s="170"/>
      <x:c r="K2" s="170"/>
      <x:c r="L2" s="170"/>
      <x:c r="M2" s="170"/>
      <x:c r="N2"/>
      <x:c r="O2"/>
      <x:c r="P2"/>
      <x:c r="Q2"/>
      <x:c r="R2"/>
      <x:c r="S2"/>
      <x:c r="T2"/>
      <x:c r="U2"/>
      <x:c r="V2"/>
      <x:c r="W2"/>
    </x:row>
    <x:row r="3" ht="28" customHeight="1">
      <x:c r="A3" s="174" t="str">
        <x:v>Data/hora da análise</x:v>
      </x:c>
      <x:c r="B3" s="174"/>
      <x:c r="C3" s="174"/>
      <x:c r="D3" s="175" t="n">
        <x:f>Listas!B18</x:f>
        <x:v>46291.75</x:v>
      </x:c>
      <x:c r="E3" s="175"/>
      <x:c r="F3" s="175"/>
      <x:c r="G3" s="174" t="str">
        <x:v>SLA em horas corridas | exemplos fictícios</x:v>
      </x:c>
      <x:c r="H3" s="174"/>
      <x:c r="I3" s="174"/>
      <x:c r="J3" s="174"/>
      <x:c r="K3" s="174"/>
      <x:c r="L3" s="174"/>
      <x:c r="M3" s="174"/>
      <x:c r="N3"/>
      <x:c r="O3"/>
      <x:c r="P3"/>
      <x:c r="Q3"/>
      <x:c r="R3"/>
      <x:c r="S3"/>
      <x:c r="T3"/>
      <x:c r="U3"/>
      <x:c r="V3"/>
      <x:c r="W3"/>
    </x:row>
    <x:row r="4">
      <x:c r="A4" s="159"/>
      <x:c r="B4" s="159"/>
      <x:c r="C4" s="159"/>
      <x:c r="D4" s="159"/>
      <x:c r="E4" s="159"/>
      <x:c r="F4" s="159"/>
      <x:c r="G4" s="159"/>
      <x:c r="H4" s="159"/>
      <x:c r="I4" s="159"/>
      <x:c r="J4" s="159"/>
      <x:c r="K4" s="159"/>
      <x:c r="L4" s="159"/>
      <x:c r="M4" s="159"/>
      <x:c r="N4"/>
      <x:c r="O4"/>
      <x:c r="P4"/>
      <x:c r="Q4"/>
      <x:c r="R4"/>
      <x:c r="S4"/>
      <x:c r="T4"/>
      <x:c r="U4"/>
      <x:c r="V4"/>
      <x:c r="W4"/>
    </x:row>
    <x:row r="5" ht="42" customHeight="1">
      <x:c r="A5" s="167" t="str">
        <x:v>ABERTOS</x:v>
      </x:c>
      <x:c r="B5" s="167"/>
      <x:c r="C5" s="167" t="str">
        <x:v>RESPOSTA VENCIDA</x:v>
      </x:c>
      <x:c r="D5" s="167"/>
      <x:c r="E5" s="167" t="str">
        <x:v>RESOLUÇÃO VENCIDA</x:v>
      </x:c>
      <x:c r="F5" s="167"/>
      <x:c r="G5" s="167" t="str">
        <x:v>SLA CONCLUÍDOS</x:v>
      </x:c>
      <x:c r="H5" s="167"/>
      <x:c r="I5" s="167" t="str">
        <x:v>MÉDIA RESOLUÇÃO (H)</x:v>
      </x:c>
      <x:c r="J5" s="167"/>
      <x:c r="K5" s="167"/>
      <x:c r="L5" s="167" t="str">
        <x:v>DADOS PENDENTES</x:v>
      </x:c>
      <x:c r="M5" s="167"/>
      <x:c r="N5"/>
      <x:c r="O5"/>
      <x:c r="P5"/>
      <x:c r="Q5"/>
      <x:c r="R5"/>
      <x:c r="S5"/>
      <x:c r="T5"/>
      <x:c r="U5"/>
      <x:c r="V5"/>
      <x:c r="W5"/>
    </x:row>
    <x:row r="6" ht="38" customHeight="1">
      <x:c r="A6" s="169" t="n">
        <x:f>SUM(Chamados!$Z$5:$Z$204)</x:f>
        <x:v>5</x:v>
      </x:c>
      <x:c r="B6" s="169"/>
      <x:c r="C6" s="169" t="n">
        <x:f>COUNTIFS(Chamados!$Z$5:$Z$204,1,Chamados!$M$5:$M$204,"ATRASADO",Chamados!$AF$5:$AF$204,1)</x:f>
        <x:v>2</x:v>
      </x:c>
      <x:c r="D6" s="169"/>
      <x:c r="E6" s="169" t="n">
        <x:f>COUNTIFS(Chamados!$Z$5:$Z$204,1,Chamados!$P$5:$P$204,"ATRASADO")</x:f>
        <x:v>2</x:v>
      </x:c>
      <x:c r="F6" s="169"/>
      <x:c r="G6" s="176" t="n">
        <x:f>IF(SUM(Chamados!$AA$5:$AA$204)=0,"n.a.",COUNTIFS(Chamados!$AA$5:$AA$204,1,Chamados!$P$5:$P$204,"ATENDIDO")/SUM(Chamados!$AA$5:$AA$204))</x:f>
        <x:v>1</x:v>
      </x:c>
      <x:c r="H6" s="176"/>
      <x:c r="I6" s="177" t="n">
        <x:f>IF(SUM(Chamados!$AA$5:$AA$204)=0,"n.a.",SUMIFS(Chamados!$Q$5:$Q$204,Chamados!$AA$5:$AA$204,1)/SUM(Chamados!$AA$5:$AA$204))</x:f>
        <x:v>13.499999999912689</x:v>
      </x:c>
      <x:c r="J6" s="177"/>
      <x:c r="K6" s="177"/>
      <x:c r="L6" s="169" t="n">
        <x:f>SUM(Chamados!$AE$5:$AE$204)</x:f>
        <x:v>0</x:v>
      </x:c>
      <x:c r="M6" s="169"/>
      <x:c r="N6"/>
      <x:c r="O6"/>
      <x:c r="P6"/>
      <x:c r="Q6"/>
      <x:c r="R6"/>
      <x:c r="S6"/>
      <x:c r="T6"/>
      <x:c r="U6"/>
      <x:c r="V6"/>
      <x:c r="W6"/>
    </x:row>
    <x:row r="7">
      <x:c r="A7" s="159"/>
      <x:c r="B7" s="159"/>
      <x:c r="C7" s="159"/>
      <x:c r="D7" s="159"/>
      <x:c r="E7" s="159"/>
      <x:c r="F7" s="159"/>
      <x:c r="G7" s="159"/>
      <x:c r="H7" s="159"/>
      <x:c r="I7" s="159"/>
      <x:c r="J7" s="159"/>
      <x:c r="K7" s="159"/>
      <x:c r="L7" s="159"/>
      <x:c r="M7" s="159"/>
      <x:c r="N7"/>
      <x:c r="O7"/>
      <x:c r="P7"/>
      <x:c r="Q7"/>
      <x:c r="R7"/>
      <x:c r="S7"/>
      <x:c r="T7"/>
      <x:c r="U7"/>
      <x:c r="V7"/>
      <x:c r="W7"/>
    </x:row>
    <x:row r="8">
      <x:c r="A8" s="159"/>
      <x:c r="B8" s="159"/>
      <x:c r="C8" s="159"/>
      <x:c r="D8" s="159"/>
      <x:c r="E8" s="159"/>
      <x:c r="F8" s="159"/>
      <x:c r="G8" s="159"/>
      <x:c r="H8" s="159"/>
      <x:c r="I8" s="159"/>
      <x:c r="J8" s="159"/>
      <x:c r="K8" s="159"/>
      <x:c r="L8" s="159"/>
      <x:c r="M8" s="159"/>
      <x:c r="N8"/>
      <x:c r="O8"/>
      <x:c r="P8"/>
      <x:c r="Q8"/>
      <x:c r="R8"/>
      <x:c r="S8"/>
      <x:c r="T8"/>
      <x:c r="U8"/>
      <x:c r="V8"/>
      <x:c r="W8"/>
    </x:row>
    <x:row r="9" ht="26" customHeight="1">
      <x:c r="A9" s="181" t="str">
        <x:v>BACKLOG POR PRIORIDADE</x:v>
      </x:c>
      <x:c r="B9" s="181" t="str">
        <x:v>BACKLOG POR PRIORIDADE</x:v>
      </x:c>
      <x:c r="C9" s="181" t="str">
        <x:v>BACKLOG POR PRIORIDADE</x:v>
      </x:c>
      <x:c r="D9" s="181" t="str">
        <x:v>BACKLOG POR PRIORIDADE</x:v>
      </x:c>
      <x:c r="E9" s="159"/>
      <x:c r="F9" s="159"/>
      <x:c r="G9" s="159"/>
      <x:c r="H9" s="159"/>
      <x:c r="I9" s="159"/>
      <x:c r="J9" s="159" t="str">
        <x:v>Prioridade</x:v>
      </x:c>
      <x:c r="K9" s="159" t="str">
        <x:v>Abertos</x:v>
      </x:c>
      <x:c r="L9" s="159"/>
      <x:c r="M9" s="159"/>
      <x:c r="N9"/>
      <x:c r="O9"/>
      <x:c r="P9"/>
      <x:c r="Q9"/>
      <x:c r="R9"/>
      <x:c r="S9"/>
      <x:c r="T9"/>
      <x:c r="U9"/>
      <x:c r="V9"/>
      <x:c r="W9"/>
    </x:row>
    <x:row r="10" ht="26" customHeight="1">
      <x:c r="A10" s="182" t="str">
        <x:v>Prioridade</x:v>
      </x:c>
      <x:c r="B10" s="183" t="str">
        <x:v>Abertos</x:v>
      </x:c>
      <x:c r="C10" s="166"/>
      <x:c r="D10" s="166"/>
      <x:c r="E10" s="159"/>
      <x:c r="F10" s="159"/>
      <x:c r="G10" s="159"/>
      <x:c r="H10" s="159"/>
      <x:c r="I10" s="159"/>
      <x:c r="J10" s="159" t="str">
        <x:v>Crítica</x:v>
      </x:c>
      <x:c r="K10" s="159" t="n">
        <x:f>B11</x:f>
        <x:v>2</x:v>
      </x:c>
      <x:c r="L10" s="159"/>
      <x:c r="M10" s="159"/>
      <x:c r="N10"/>
      <x:c r="O10"/>
      <x:c r="P10"/>
      <x:c r="Q10"/>
      <x:c r="R10"/>
      <x:c r="S10"/>
      <x:c r="T10"/>
      <x:c r="U10"/>
      <x:c r="V10"/>
      <x:c r="W10"/>
    </x:row>
    <x:row r="11">
      <x:c r="A11" s="162" t="str">
        <x:v>Crítica</x:v>
      </x:c>
      <x:c r="B11" s="163" t="n">
        <x:f>COUNTIFS(Chamados!$Z$5:$Z$204,1,Chamados!$H$5:$H$204,A11)</x:f>
        <x:v>2</x:v>
      </x:c>
      <x:c r="C11" s="159"/>
      <x:c r="D11" s="159"/>
      <x:c r="E11" s="159"/>
      <x:c r="F11" s="159"/>
      <x:c r="G11" s="159"/>
      <x:c r="H11" s="159"/>
      <x:c r="I11" s="159"/>
      <x:c r="J11" s="159" t="str">
        <x:v>Alta</x:v>
      </x:c>
      <x:c r="K11" s="159" t="n">
        <x:f>B12</x:f>
        <x:v>1</x:v>
      </x:c>
      <x:c r="L11" s="159"/>
      <x:c r="M11" s="159"/>
      <x:c r="N11"/>
      <x:c r="O11"/>
      <x:c r="P11"/>
      <x:c r="Q11"/>
      <x:c r="R11"/>
      <x:c r="S11"/>
      <x:c r="T11"/>
      <x:c r="U11"/>
      <x:c r="V11"/>
      <x:c r="W11"/>
    </x:row>
    <x:row r="12">
      <x:c r="A12" s="162" t="str">
        <x:v>Alta</x:v>
      </x:c>
      <x:c r="B12" s="163" t="n">
        <x:f>COUNTIFS(Chamados!$Z$5:$Z$204,1,Chamados!$H$5:$H$204,A12)</x:f>
        <x:v>1</x:v>
      </x:c>
      <x:c r="C12" s="159"/>
      <x:c r="D12" s="159"/>
      <x:c r="E12" s="159"/>
      <x:c r="F12" s="159"/>
      <x:c r="G12" s="159"/>
      <x:c r="H12" s="159"/>
      <x:c r="I12" s="159"/>
      <x:c r="J12" s="159" t="str">
        <x:v>Média</x:v>
      </x:c>
      <x:c r="K12" s="159" t="n">
        <x:f>B13</x:f>
        <x:v>1</x:v>
      </x:c>
      <x:c r="L12" s="159"/>
      <x:c r="M12" s="159"/>
      <x:c r="N12"/>
      <x:c r="O12"/>
      <x:c r="P12"/>
      <x:c r="Q12"/>
      <x:c r="R12"/>
      <x:c r="S12"/>
      <x:c r="T12"/>
      <x:c r="U12"/>
      <x:c r="V12"/>
      <x:c r="W12"/>
    </x:row>
    <x:row r="13">
      <x:c r="A13" s="162" t="str">
        <x:v>Média</x:v>
      </x:c>
      <x:c r="B13" s="163" t="n">
        <x:f>COUNTIFS(Chamados!$Z$5:$Z$204,1,Chamados!$H$5:$H$204,A13)</x:f>
        <x:v>1</x:v>
      </x:c>
      <x:c r="C13" s="159"/>
      <x:c r="D13" s="159"/>
      <x:c r="E13" s="159"/>
      <x:c r="F13" s="159"/>
      <x:c r="G13" s="159"/>
      <x:c r="H13" s="159"/>
      <x:c r="I13" s="159"/>
      <x:c r="J13" s="159" t="str">
        <x:v>Baixa</x:v>
      </x:c>
      <x:c r="K13" s="159" t="n">
        <x:f>B14</x:f>
        <x:v>1</x:v>
      </x:c>
      <x:c r="L13" s="159"/>
      <x:c r="M13" s="159"/>
      <x:c r="N13"/>
      <x:c r="O13"/>
      <x:c r="P13"/>
      <x:c r="Q13"/>
      <x:c r="R13"/>
      <x:c r="S13"/>
      <x:c r="T13"/>
      <x:c r="U13"/>
      <x:c r="V13"/>
      <x:c r="W13"/>
    </x:row>
    <x:row r="14">
      <x:c r="A14" s="162" t="str">
        <x:v>Baixa</x:v>
      </x:c>
      <x:c r="B14" s="163" t="n">
        <x:f>COUNTIFS(Chamados!$Z$5:$Z$204,1,Chamados!$H$5:$H$204,A14)</x:f>
        <x:v>1</x:v>
      </x:c>
      <x:c r="C14" s="159"/>
      <x:c r="D14" s="159"/>
      <x:c r="E14" s="159"/>
      <x:c r="F14" s="159"/>
      <x:c r="G14" s="159"/>
      <x:c r="H14" s="159"/>
      <x:c r="I14" s="159"/>
      <x:c r="J14" s="159"/>
      <x:c r="K14" s="159"/>
      <x:c r="L14" s="159"/>
      <x:c r="M14" s="159"/>
      <x:c r="N14"/>
      <x:c r="O14"/>
      <x:c r="P14"/>
      <x:c r="Q14"/>
      <x:c r="R14"/>
      <x:c r="S14"/>
      <x:c r="T14"/>
      <x:c r="U14"/>
      <x:c r="V14"/>
      <x:c r="W14"/>
    </x:row>
    <x:row r="15">
      <x:c r="A15" s="159"/>
      <x:c r="B15" s="159"/>
      <x:c r="C15" s="159"/>
      <x:c r="D15" s="159"/>
      <x:c r="E15" s="159"/>
      <x:c r="F15" s="159"/>
      <x:c r="G15" s="159"/>
      <x:c r="H15" s="159"/>
      <x:c r="I15" s="159"/>
      <x:c r="J15" s="159"/>
      <x:c r="K15" s="159"/>
      <x:c r="L15" s="159"/>
      <x:c r="M15" s="159"/>
      <x:c r="N15"/>
      <x:c r="O15"/>
      <x:c r="P15"/>
      <x:c r="Q15"/>
      <x:c r="R15"/>
      <x:c r="S15"/>
      <x:c r="T15"/>
      <x:c r="U15"/>
      <x:c r="V15"/>
      <x:c r="W15"/>
    </x:row>
    <x:row r="16">
      <x:c r="A16" s="159"/>
      <x:c r="B16" s="159"/>
      <x:c r="C16" s="159"/>
      <x:c r="D16" s="159"/>
      <x:c r="E16" s="159"/>
      <x:c r="F16" s="159"/>
      <x:c r="G16" s="159"/>
      <x:c r="H16" s="159"/>
      <x:c r="I16" s="159"/>
      <x:c r="J16" s="159"/>
      <x:c r="K16" s="159"/>
      <x:c r="L16" s="159"/>
      <x:c r="M16" s="159"/>
      <x:c r="N16"/>
      <x:c r="O16"/>
      <x:c r="P16"/>
      <x:c r="Q16"/>
      <x:c r="R16"/>
      <x:c r="S16"/>
      <x:c r="T16"/>
      <x:c r="U16"/>
      <x:c r="V16"/>
      <x:c r="W16"/>
    </x:row>
    <x:row r="17" ht="26" customHeight="1">
      <x:c r="A17" s="153" t="str">
        <x:v>Decisões no contexto</x:v>
      </x:c>
      <x:c r="B17" s="153"/>
      <x:c r="C17" s="153"/>
      <x:c r="D17" s="153"/>
      <x:c r="E17" s="159"/>
      <x:c r="F17" s="159"/>
      <x:c r="G17" s="159"/>
      <x:c r="H17" s="159"/>
      <x:c r="I17" s="159"/>
      <x:c r="J17" s="159"/>
      <x:c r="K17" s="159"/>
      <x:c r="L17" s="159"/>
      <x:c r="M17" s="159"/>
      <x:c r="N17"/>
      <x:c r="O17"/>
      <x:c r="P17"/>
      <x:c r="Q17"/>
      <x:c r="R17"/>
      <x:c r="S17"/>
      <x:c r="T17"/>
      <x:c r="U17"/>
      <x:c r="V17"/>
      <x:c r="W17"/>
    </x:row>
    <x:row r="18" ht="26" customHeight="1">
      <x:c r="A18" s="153" t="str">
        <x:v>Ação</x:v>
      </x:c>
      <x:c r="B18" s="153"/>
      <x:c r="C18" s="153"/>
      <x:c r="D18" s="153" t="str">
        <x:v>Qtd.</x:v>
      </x:c>
      <x:c r="E18" s="159"/>
      <x:c r="F18" s="159"/>
      <x:c r="G18" s="159"/>
      <x:c r="H18" s="159"/>
      <x:c r="I18" s="159"/>
      <x:c r="J18" s="159"/>
      <x:c r="K18" s="159"/>
      <x:c r="L18" s="159"/>
      <x:c r="M18" s="159"/>
      <x:c r="N18"/>
      <x:c r="O18"/>
      <x:c r="P18"/>
      <x:c r="Q18"/>
      <x:c r="R18"/>
      <x:c r="S18"/>
      <x:c r="T18"/>
      <x:c r="U18"/>
      <x:c r="V18"/>
      <x:c r="W18"/>
    </x:row>
    <x:row r="19" ht="28" customHeight="1">
      <x:c r="A19" s="185" t="str">
        <x:v>Escalar</x:v>
      </x:c>
      <x:c r="B19" s="185" t="n">
        <x:f>COUNTIFS(Chamados!$Y$5:$Y$204,1,Chamados!$V$5:$V$204,"ESCALAR")</x:f>
        <x:v>4</x:v>
      </x:c>
      <x:c r="C19" s="185"/>
      <x:c r="D19" s="185" t="n">
        <x:f>COUNTIFS(Chamados!$Y$5:$Y$204,1,Chamados!$V$5:$V$204,"ESCALAR")</x:f>
        <x:v>4</x:v>
      </x:c>
      <x:c r="E19" s="159"/>
      <x:c r="F19" s="159"/>
      <x:c r="G19" s="159"/>
      <x:c r="H19" s="159"/>
      <x:c r="I19" s="159"/>
      <x:c r="J19" s="159"/>
      <x:c r="K19" s="159"/>
      <x:c r="L19" s="159"/>
      <x:c r="M19" s="159"/>
      <x:c r="N19"/>
      <x:c r="O19"/>
      <x:c r="P19"/>
      <x:c r="Q19"/>
      <x:c r="R19"/>
      <x:c r="S19"/>
      <x:c r="T19"/>
      <x:c r="U19"/>
      <x:c r="V19"/>
      <x:c r="W19"/>
    </x:row>
    <x:row r="20" ht="28" customHeight="1">
      <x:c r="A20" s="185" t="str">
        <x:v>Responder agora</x:v>
      </x:c>
      <x:c r="B20" s="185" t="n">
        <x:f>COUNTIFS(Chamados!$Y$5:$Y$204,1,Chamados!$V$5:$V$204,"RESPONDER AGORA")</x:f>
        <x:v>0</x:v>
      </x:c>
      <x:c r="C20" s="185"/>
      <x:c r="D20" s="185" t="n">
        <x:f>COUNTIFS(Chamados!$Y$5:$Y$204,1,Chamados!$V$5:$V$204,"RESPONDER AGORA")</x:f>
        <x:v>0</x:v>
      </x:c>
      <x:c r="E20" s="159"/>
      <x:c r="F20" s="159"/>
      <x:c r="G20" s="159"/>
      <x:c r="H20" s="159"/>
      <x:c r="I20" s="159"/>
      <x:c r="J20" s="159"/>
      <x:c r="K20" s="159"/>
      <x:c r="L20" s="159"/>
      <x:c r="M20" s="159"/>
      <x:c r="N20"/>
      <x:c r="O20"/>
      <x:c r="P20"/>
      <x:c r="Q20"/>
      <x:c r="R20"/>
      <x:c r="S20"/>
      <x:c r="T20"/>
      <x:c r="U20"/>
      <x:c r="V20"/>
      <x:c r="W20"/>
    </x:row>
    <x:row r="21" ht="28" customHeight="1">
      <x:c r="A21" s="185" t="str">
        <x:v>Revisar backlog</x:v>
      </x:c>
      <x:c r="B21" s="185" t="n">
        <x:f>COUNTIFS(Chamados!$Y$5:$Y$204,1,Chamados!$V$5:$V$204,"REVISAR BACKLOG")</x:f>
        <x:v>0</x:v>
      </x:c>
      <x:c r="C21" s="185"/>
      <x:c r="D21" s="185" t="n">
        <x:f>COUNTIFS(Chamados!$Y$5:$Y$204,1,Chamados!$V$5:$V$204,"REVISAR BACKLOG")</x:f>
        <x:v>0</x:v>
      </x:c>
      <x:c r="E21" s="159"/>
      <x:c r="F21" s="159"/>
      <x:c r="G21" s="159"/>
      <x:c r="H21" s="159"/>
      <x:c r="I21" s="159"/>
      <x:c r="J21" s="159"/>
      <x:c r="K21" s="159"/>
      <x:c r="L21" s="159"/>
      <x:c r="M21" s="159"/>
      <x:c r="N21"/>
      <x:c r="O21"/>
      <x:c r="P21"/>
      <x:c r="Q21"/>
      <x:c r="R21"/>
      <x:c r="S21"/>
      <x:c r="T21"/>
      <x:c r="U21"/>
      <x:c r="V21"/>
      <x:c r="W21"/>
    </x:row>
    <x:row r="22" ht="28" customHeight="1">
      <x:c r="A22" s="185" t="str">
        <x:v>Sobrecarga (equipe total)</x:v>
      </x:c>
      <x:c r="B22" s="185" t="n">
        <x:f>COUNTIFS(Equipe!$H$5:$H$12,"REDISTRIBUIR")</x:f>
        <x:v>0</x:v>
      </x:c>
      <x:c r="C22" s="185"/>
      <x:c r="D22" s="185" t="n">
        <x:f>COUNTIFS(Equipe!$H$5:$H$12,"REDISTRIBUIR")</x:f>
        <x:v>0</x:v>
      </x:c>
      <x:c r="E22" s="159"/>
      <x:c r="F22" s="159"/>
      <x:c r="G22" s="159"/>
      <x:c r="H22" s="159"/>
      <x:c r="I22" s="159"/>
      <x:c r="J22" s="159"/>
      <x:c r="K22" s="159"/>
      <x:c r="L22" s="159"/>
      <x:c r="M22" s="159"/>
      <x:c r="N22"/>
      <x:c r="O22"/>
      <x:c r="P22"/>
      <x:c r="Q22"/>
      <x:c r="R22"/>
      <x:c r="S22"/>
      <x:c r="T22"/>
      <x:c r="U22"/>
      <x:c r="V22"/>
      <x:c r="W22"/>
    </x:row>
    <x:row r="23">
      <x:c r="A23" s="159"/>
      <x:c r="B23" s="159"/>
      <x:c r="C23" s="159"/>
      <x:c r="D23" s="159"/>
      <x:c r="E23" s="159"/>
      <x:c r="F23" s="159"/>
      <x:c r="G23" s="159"/>
      <x:c r="H23" s="159"/>
      <x:c r="I23" s="159"/>
      <x:c r="J23" s="159"/>
      <x:c r="K23" s="159"/>
      <x:c r="L23" s="159"/>
      <x:c r="M23" s="159"/>
      <x:c r="N23"/>
      <x:c r="O23"/>
      <x:c r="P23"/>
      <x:c r="Q23"/>
      <x:c r="R23"/>
      <x:c r="S23"/>
      <x:c r="T23"/>
      <x:c r="U23"/>
      <x:c r="V23"/>
      <x:c r="W23"/>
    </x:row>
    <x:row r="24">
      <x:c r="A24" s="159" t="str">
        <x:f>"Responsável: "&amp;Listas!B20&amp;" | Concluídos válidos: "&amp;SUM(Chamados!AA5:AA204)&amp;" | Cancelados excluídos do SLA"</x:f>
        <x:v>Responsável: Todos | Concluídos válidos: 2 | Cancelados excluídos do SLA</x:v>
      </x:c>
      <x:c r="B24" s="159"/>
      <x:c r="C24" s="159"/>
      <x:c r="D24" s="159"/>
      <x:c r="E24" s="159"/>
      <x:c r="F24" s="159"/>
      <x:c r="G24" s="159"/>
      <x:c r="H24" s="159"/>
      <x:c r="I24" s="159"/>
      <x:c r="J24" s="159"/>
      <x:c r="K24" s="159"/>
      <x:c r="L24" s="159"/>
      <x:c r="M24" s="159"/>
      <x:c r="N24" s="1"/>
      <x:c r="O24" s="1"/>
      <x:c r="P24" s="1"/>
      <x:c r="Q24" s="1"/>
      <x:c r="R24" s="1"/>
      <x:c r="S24" s="1"/>
      <x:c r="T24" s="1"/>
      <x:c r="U24" s="1"/>
      <x:c r="V24" s="1"/>
      <x:c r="W24" s="1"/>
    </x:row>
    <x:row r="25">
      <x:c r="A25" s="159"/>
      <x:c r="B25" s="159"/>
      <x:c r="C25" s="159"/>
      <x:c r="D25" s="159"/>
      <x:c r="E25" s="159"/>
      <x:c r="F25" s="159"/>
      <x:c r="G25" s="159"/>
      <x:c r="H25" s="159"/>
      <x:c r="I25" s="159"/>
      <x:c r="J25" s="159"/>
      <x:c r="K25" s="159"/>
      <x:c r="L25" s="159"/>
      <x:c r="M25" s="159"/>
      <x:c r="N25" s="1"/>
      <x:c r="O25" s="1"/>
      <x:c r="P25" s="1"/>
      <x:c r="Q25" s="1"/>
      <x:c r="R25" s="1"/>
      <x:c r="S25" s="1"/>
      <x:c r="T25" s="1"/>
      <x:c r="U25" s="1"/>
      <x:c r="V25" s="1"/>
      <x:c r="W25" s="1"/>
    </x:row>
    <x:row r="26" ht="28" customHeight="1">
      <x:c r="A26" s="166" t="str">
        <x:v>Prioridades do contexto | dez primeiras | todas na base</x:v>
      </x:c>
      <x:c r="B26" s="166"/>
      <x:c r="C26" s="166"/>
      <x:c r="D26" s="166"/>
      <x:c r="E26" s="166"/>
      <x:c r="F26" s="166"/>
      <x:c r="G26" s="166"/>
      <x:c r="H26" s="166"/>
      <x:c r="I26" s="166"/>
      <x:c r="J26" s="166"/>
      <x:c r="K26" s="166"/>
      <x:c r="L26" s="166"/>
      <x:c r="M26" s="166"/>
      <x:c r="N26" s="1"/>
      <x:c r="O26" s="1"/>
      <x:c r="P26" s="1"/>
      <x:c r="Q26" s="1"/>
      <x:c r="R26" s="1"/>
      <x:c r="S26" s="1"/>
      <x:c r="T26" s="1"/>
      <x:c r="U26" s="1"/>
      <x:c r="V26" s="1"/>
      <x:c r="W26" s="1"/>
    </x:row>
    <x:row r="27" ht="28" customHeight="1">
      <x:c r="A27" s="166" t="str">
        <x:v>Chamado</x:v>
      </x:c>
      <x:c r="B27" s="166"/>
      <x:c r="C27" s="166" t="str">
        <x:v>Motivo / próxima decisão</x:v>
      </x:c>
      <x:c r="D27" s="166"/>
      <x:c r="E27" s="166"/>
      <x:c r="F27" s="166"/>
      <x:c r="G27" s="166" t="str">
        <x:v>Responsável</x:v>
      </x:c>
      <x:c r="H27" s="166"/>
      <x:c r="I27" s="166"/>
      <x:c r="J27" s="166" t="str">
        <x:v>Prazo de resolução</x:v>
      </x:c>
      <x:c r="K27" s="166"/>
      <x:c r="L27" s="166"/>
      <x:c r="M27" s="166"/>
      <x:c r="N27" s="1"/>
      <x:c r="O27" s="1"/>
      <x:c r="P27" s="1"/>
      <x:c r="Q27" s="1"/>
      <x:c r="R27" s="1"/>
      <x:c r="S27" s="1"/>
      <x:c r="T27" s="1"/>
      <x:c r="U27" s="1"/>
      <x:c r="V27" s="1"/>
      <x:c r="W27" s="1"/>
    </x:row>
    <x:row r="28" ht="34" customHeight="1">
      <x:c r="A28" s="187" t="str">
        <x:f>IF(O28="","",IF(INDEX(Chamados!$A$5:$A$204,O28)="","",INDEX(Chamados!$A$5:$A$204,O28)))</x:f>
        <x:v>CH-0001</x:v>
      </x:c>
      <x:c r="B28" s="187"/>
      <x:c r="C28" s="187" t="str">
        <x:f>IF(O28="","",IF(INDEX(Chamados!$X$5:$X$204,O28)&lt;&gt;"",INDEX(Chamados!$X$5:$X$204,O28),INDEX(Chamados!$V$5:$V$204,O28)))</x:f>
        <x:v>ESCALAR</x:v>
      </x:c>
      <x:c r="D28" s="187"/>
      <x:c r="E28" s="187"/>
      <x:c r="F28" s="187"/>
      <x:c r="G28" s="187" t="str">
        <x:f>IF(O28="","",IF(INDEX(Chamados!$I$5:$I$204,O28)="","",INDEX(Chamados!$I$5:$I$204,O28)))</x:f>
        <x:v>Ana Lima</x:v>
      </x:c>
      <x:c r="H28" s="187"/>
      <x:c r="I28" s="187"/>
      <x:c r="J28" s="188" t="n">
        <x:f>IF(O28="","",IF(INDEX(Chamados!$N$5:$N$204,O28)="","",INDEX(Chamados!$N$5:$N$204,O28)))</x:f>
        <x:v>46291.5</x:v>
      </x:c>
      <x:c r="K28" s="188"/>
      <x:c r="L28" s="188"/>
      <x:c r="M28" s="188"/>
      <x:c r="N28" s="1"/>
      <x:c r="O28" s="1" t="n">
        <x:f>IFERROR(MATCH(1,Chamados!$AC$5:$AC$204,0),"")</x:f>
        <x:v>1</x:v>
      </x:c>
      <x:c r="P28" s="1"/>
      <x:c r="Q28" s="1"/>
      <x:c r="R28" s="1"/>
      <x:c r="S28" s="1"/>
      <x:c r="T28" s="1"/>
      <x:c r="U28" s="1"/>
      <x:c r="V28" s="1"/>
      <x:c r="W28" s="1"/>
    </x:row>
    <x:row r="29" ht="34" customHeight="1">
      <x:c r="A29" s="190" t="str">
        <x:f>IF(O29="","",IF(INDEX(Chamados!$A$5:$A$204,O29)="","",INDEX(Chamados!$A$5:$A$204,O29)))</x:f>
        <x:v>CH-0006</x:v>
      </x:c>
      <x:c r="B29" s="190"/>
      <x:c r="C29" s="190" t="str">
        <x:f>IF(O29="","",IF(INDEX(Chamados!$X$5:$X$204,O29)&lt;&gt;"",INDEX(Chamados!$X$5:$X$204,O29),INDEX(Chamados!$V$5:$V$204,O29)))</x:f>
        <x:v>ESCALAR</x:v>
      </x:c>
      <x:c r="D29" s="190"/>
      <x:c r="E29" s="190"/>
      <x:c r="F29" s="190"/>
      <x:c r="G29" s="190" t="str">
        <x:f>IF(O29="","",IF(INDEX(Chamados!$I$5:$I$204,O29)="","",INDEX(Chamados!$I$5:$I$204,O29)))</x:f>
        <x:v>Bruno Reis</x:v>
      </x:c>
      <x:c r="H29" s="190"/>
      <x:c r="I29" s="190"/>
      <x:c r="J29" s="191" t="n">
        <x:f>IF(O29="","",IF(INDEX(Chamados!$N$5:$N$204,O29)="","",INDEX(Chamados!$N$5:$N$204,O29)))</x:f>
        <x:v>46285.02083333333</x:v>
      </x:c>
      <x:c r="K29" s="191"/>
      <x:c r="L29" s="191"/>
      <x:c r="M29" s="191"/>
      <x:c r="N29" s="1"/>
      <x:c r="O29" s="1" t="n">
        <x:f>IFERROR(MATCH(2,Chamados!$AC$5:$AC$204,0),"")</x:f>
        <x:v>6</x:v>
      </x:c>
      <x:c r="P29" s="1"/>
      <x:c r="Q29" s="1"/>
      <x:c r="R29" s="1"/>
      <x:c r="S29" s="1"/>
      <x:c r="T29" s="1"/>
      <x:c r="U29" s="1"/>
      <x:c r="V29" s="1"/>
      <x:c r="W29" s="1"/>
    </x:row>
    <x:row r="30" ht="34" customHeight="1">
      <x:c r="A30" s="187" t="str">
        <x:f>IF(O30="","",IF(INDEX(Chamados!$A$5:$A$204,O30)="","",INDEX(Chamados!$A$5:$A$204,O30)))</x:f>
        <x:v>CH-0002</x:v>
      </x:c>
      <x:c r="B30" s="187"/>
      <x:c r="C30" s="187" t="str">
        <x:f>IF(O30="","",IF(INDEX(Chamados!$X$5:$X$204,O30)&lt;&gt;"",INDEX(Chamados!$X$5:$X$204,O30),INDEX(Chamados!$V$5:$V$204,O30)))</x:f>
        <x:v>ESCALAR</x:v>
      </x:c>
      <x:c r="D30" s="187"/>
      <x:c r="E30" s="187"/>
      <x:c r="F30" s="187"/>
      <x:c r="G30" s="187" t="str">
        <x:f>IF(O30="","",IF(INDEX(Chamados!$I$5:$I$204,O30)="","",INDEX(Chamados!$I$5:$I$204,O30)))</x:f>
        <x:v>Bruno Reis</x:v>
      </x:c>
      <x:c r="H30" s="187"/>
      <x:c r="I30" s="187"/>
      <x:c r="J30" s="188" t="n">
        <x:f>IF(O30="","",IF(INDEX(Chamados!$N$5:$N$204,O30)="","",INDEX(Chamados!$N$5:$N$204,O30)))</x:f>
        <x:v>46292.05208333333</x:v>
      </x:c>
      <x:c r="K30" s="188"/>
      <x:c r="L30" s="188"/>
      <x:c r="M30" s="188"/>
      <x:c r="N30" s="1"/>
      <x:c r="O30" s="1" t="n">
        <x:f>IFERROR(MATCH(3,Chamados!$AC$5:$AC$204,0),"")</x:f>
        <x:v>2</x:v>
      </x:c>
      <x:c r="P30" s="1"/>
      <x:c r="Q30" s="1"/>
      <x:c r="R30" s="1"/>
      <x:c r="S30" s="1"/>
      <x:c r="T30" s="1"/>
      <x:c r="U30" s="1"/>
      <x:c r="V30" s="1"/>
      <x:c r="W30" s="1"/>
    </x:row>
    <x:row r="31" ht="34" customHeight="1">
      <x:c r="A31" s="190" t="str">
        <x:f>IF(O31="","",IF(INDEX(Chamados!$A$5:$A$204,O31)="","",INDEX(Chamados!$A$5:$A$204,O31)))</x:f>
        <x:v>CH-0007</x:v>
      </x:c>
      <x:c r="B31" s="190"/>
      <x:c r="C31" s="190" t="str">
        <x:f>IF(O31="","",IF(INDEX(Chamados!$X$5:$X$204,O31)&lt;&gt;"",INDEX(Chamados!$X$5:$X$204,O31),INDEX(Chamados!$V$5:$V$204,O31)))</x:f>
        <x:v>ESCALAR</x:v>
      </x:c>
      <x:c r="D31" s="190"/>
      <x:c r="E31" s="190"/>
      <x:c r="F31" s="190"/>
      <x:c r="G31" s="190" t="str">
        <x:f>IF(O31="","",IF(INDEX(Chamados!$I$5:$I$204,O31)="","",INDEX(Chamados!$I$5:$I$204,O31)))</x:f>
        <x:v>Carla Souza</x:v>
      </x:c>
      <x:c r="H31" s="190"/>
      <x:c r="I31" s="190"/>
      <x:c r="J31" s="191" t="n">
        <x:f>IF(O31="","",IF(INDEX(Chamados!$N$5:$N$204,O31)="","",INDEX(Chamados!$N$5:$N$204,O31)))</x:f>
        <x:v>46291.83333333333</x:v>
      </x:c>
      <x:c r="K31" s="191"/>
      <x:c r="L31" s="191"/>
      <x:c r="M31" s="191"/>
      <x:c r="N31" s="1"/>
      <x:c r="O31" s="1" t="n">
        <x:f>IFERROR(MATCH(4,Chamados!$AC$5:$AC$204,0),"")</x:f>
        <x:v>7</x:v>
      </x:c>
      <x:c r="P31" s="1"/>
      <x:c r="Q31" s="1"/>
      <x:c r="R31" s="1"/>
      <x:c r="S31" s="1"/>
      <x:c r="T31" s="1"/>
      <x:c r="U31" s="1"/>
      <x:c r="V31" s="1"/>
      <x:c r="W31" s="1"/>
    </x:row>
    <x:row r="32" ht="34" customHeight="1">
      <x:c r="A32" s="187" t="str">
        <x:f>IF(O32="","",IF(INDEX(Chamados!$A$5:$A$204,O32)="","",INDEX(Chamados!$A$5:$A$204,O32)))</x:f>
      </x:c>
      <x:c r="B32" s="187"/>
      <x:c r="C32" s="187" t="str">
        <x:f>IF(O32="","",IF(INDEX(Chamados!$X$5:$X$204,O32)&lt;&gt;"",INDEX(Chamados!$X$5:$X$204,O32),INDEX(Chamados!$V$5:$V$204,O32)))</x:f>
      </x:c>
      <x:c r="D32" s="187"/>
      <x:c r="E32" s="187"/>
      <x:c r="F32" s="187"/>
      <x:c r="G32" s="187" t="str">
        <x:f>IF(O32="","",IF(INDEX(Chamados!$I$5:$I$204,O32)="","",INDEX(Chamados!$I$5:$I$204,O32)))</x:f>
      </x:c>
      <x:c r="H32" s="187"/>
      <x:c r="I32" s="187"/>
      <x:c r="J32" s="188" t="str">
        <x:f>IF(O32="","",IF(INDEX(Chamados!$N$5:$N$204,O32)="","",INDEX(Chamados!$N$5:$N$204,O32)))</x:f>
      </x:c>
      <x:c r="K32" s="188"/>
      <x:c r="L32" s="188"/>
      <x:c r="M32" s="188"/>
      <x:c r="N32" s="1"/>
      <x:c r="O32" s="1" t="str">
        <x:f>IFERROR(MATCH(5,Chamados!$AC$5:$AC$204,0),"")</x:f>
      </x:c>
      <x:c r="P32" s="1"/>
      <x:c r="Q32" s="1"/>
      <x:c r="R32" s="1"/>
      <x:c r="S32" s="1"/>
      <x:c r="T32" s="1"/>
      <x:c r="U32" s="1"/>
      <x:c r="V32" s="1"/>
      <x:c r="W32" s="1"/>
    </x:row>
    <x:row r="33" ht="34" customHeight="1">
      <x:c r="A33" s="190" t="str">
        <x:f>IF(O33="","",IF(INDEX(Chamados!$A$5:$A$204,O33)="","",INDEX(Chamados!$A$5:$A$204,O33)))</x:f>
      </x:c>
      <x:c r="B33" s="190"/>
      <x:c r="C33" s="190" t="str">
        <x:f>IF(O33="","",IF(INDEX(Chamados!$X$5:$X$204,O33)&lt;&gt;"",INDEX(Chamados!$X$5:$X$204,O33),INDEX(Chamados!$V$5:$V$204,O33)))</x:f>
      </x:c>
      <x:c r="D33" s="190"/>
      <x:c r="E33" s="190"/>
      <x:c r="F33" s="190"/>
      <x:c r="G33" s="190" t="str">
        <x:f>IF(O33="","",IF(INDEX(Chamados!$I$5:$I$204,O33)="","",INDEX(Chamados!$I$5:$I$204,O33)))</x:f>
      </x:c>
      <x:c r="H33" s="190"/>
      <x:c r="I33" s="190"/>
      <x:c r="J33" s="191" t="str">
        <x:f>IF(O33="","",IF(INDEX(Chamados!$N$5:$N$204,O33)="","",INDEX(Chamados!$N$5:$N$204,O33)))</x:f>
      </x:c>
      <x:c r="K33" s="191"/>
      <x:c r="L33" s="191"/>
      <x:c r="M33" s="191"/>
      <x:c r="N33" s="1"/>
      <x:c r="O33" s="1" t="str">
        <x:f>IFERROR(MATCH(6,Chamados!$AC$5:$AC$204,0),"")</x:f>
      </x:c>
      <x:c r="P33" s="1"/>
      <x:c r="Q33" s="1"/>
      <x:c r="R33" s="1"/>
      <x:c r="S33" s="1"/>
      <x:c r="T33" s="1"/>
      <x:c r="U33" s="1"/>
      <x:c r="V33" s="1"/>
      <x:c r="W33" s="1"/>
    </x:row>
    <x:row r="34" ht="34" customHeight="1">
      <x:c r="A34" s="187" t="str">
        <x:f>IF(O34="","",IF(INDEX(Chamados!$A$5:$A$204,O34)="","",INDEX(Chamados!$A$5:$A$204,O34)))</x:f>
      </x:c>
      <x:c r="B34" s="187"/>
      <x:c r="C34" s="187" t="str">
        <x:f>IF(O34="","",IF(INDEX(Chamados!$X$5:$X$204,O34)&lt;&gt;"",INDEX(Chamados!$X$5:$X$204,O34),INDEX(Chamados!$V$5:$V$204,O34)))</x:f>
      </x:c>
      <x:c r="D34" s="187"/>
      <x:c r="E34" s="187"/>
      <x:c r="F34" s="187"/>
      <x:c r="G34" s="187" t="str">
        <x:f>IF(O34="","",IF(INDEX(Chamados!$I$5:$I$204,O34)="","",INDEX(Chamados!$I$5:$I$204,O34)))</x:f>
      </x:c>
      <x:c r="H34" s="187"/>
      <x:c r="I34" s="187"/>
      <x:c r="J34" s="188" t="str">
        <x:f>IF(O34="","",IF(INDEX(Chamados!$N$5:$N$204,O34)="","",INDEX(Chamados!$N$5:$N$204,O34)))</x:f>
      </x:c>
      <x:c r="K34" s="188"/>
      <x:c r="L34" s="188"/>
      <x:c r="M34" s="188"/>
      <x:c r="N34" s="1"/>
      <x:c r="O34" s="1" t="str">
        <x:f>IFERROR(MATCH(7,Chamados!$AC$5:$AC$204,0),"")</x:f>
      </x:c>
      <x:c r="P34" s="1"/>
      <x:c r="Q34" s="1"/>
      <x:c r="R34" s="1"/>
      <x:c r="S34" s="1"/>
      <x:c r="T34" s="1"/>
      <x:c r="U34" s="1"/>
      <x:c r="V34" s="1"/>
      <x:c r="W34" s="1"/>
    </x:row>
    <x:row r="35" ht="34" customHeight="1">
      <x:c r="A35" s="190" t="str">
        <x:f>IF(O35="","",IF(INDEX(Chamados!$A$5:$A$204,O35)="","",INDEX(Chamados!$A$5:$A$204,O35)))</x:f>
      </x:c>
      <x:c r="B35" s="190"/>
      <x:c r="C35" s="190" t="str">
        <x:f>IF(O35="","",IF(INDEX(Chamados!$X$5:$X$204,O35)&lt;&gt;"",INDEX(Chamados!$X$5:$X$204,O35),INDEX(Chamados!$V$5:$V$204,O35)))</x:f>
      </x:c>
      <x:c r="D35" s="190"/>
      <x:c r="E35" s="190"/>
      <x:c r="F35" s="190"/>
      <x:c r="G35" s="190" t="str">
        <x:f>IF(O35="","",IF(INDEX(Chamados!$I$5:$I$204,O35)="","",INDEX(Chamados!$I$5:$I$204,O35)))</x:f>
      </x:c>
      <x:c r="H35" s="190"/>
      <x:c r="I35" s="190"/>
      <x:c r="J35" s="191" t="str">
        <x:f>IF(O35="","",IF(INDEX(Chamados!$N$5:$N$204,O35)="","",INDEX(Chamados!$N$5:$N$204,O35)))</x:f>
      </x:c>
      <x:c r="K35" s="191"/>
      <x:c r="L35" s="191"/>
      <x:c r="M35" s="191"/>
      <x:c r="N35" s="1"/>
      <x:c r="O35" s="1" t="str">
        <x:f>IFERROR(MATCH(8,Chamados!$AC$5:$AC$204,0),"")</x:f>
      </x:c>
      <x:c r="P35" s="1"/>
      <x:c r="Q35" s="1"/>
      <x:c r="R35" s="1"/>
      <x:c r="S35" s="1"/>
      <x:c r="T35" s="1"/>
      <x:c r="U35" s="1"/>
      <x:c r="V35" s="1"/>
      <x:c r="W35" s="1"/>
    </x:row>
    <x:row r="36" ht="34" customHeight="1">
      <x:c r="A36" s="187" t="str">
        <x:f>IF(O36="","",IF(INDEX(Chamados!$A$5:$A$204,O36)="","",INDEX(Chamados!$A$5:$A$204,O36)))</x:f>
      </x:c>
      <x:c r="B36" s="187"/>
      <x:c r="C36" s="187" t="str">
        <x:f>IF(O36="","",IF(INDEX(Chamados!$X$5:$X$204,O36)&lt;&gt;"",INDEX(Chamados!$X$5:$X$204,O36),INDEX(Chamados!$V$5:$V$204,O36)))</x:f>
      </x:c>
      <x:c r="D36" s="187"/>
      <x:c r="E36" s="187"/>
      <x:c r="F36" s="187"/>
      <x:c r="G36" s="187" t="str">
        <x:f>IF(O36="","",IF(INDEX(Chamados!$I$5:$I$204,O36)="","",INDEX(Chamados!$I$5:$I$204,O36)))</x:f>
      </x:c>
      <x:c r="H36" s="187"/>
      <x:c r="I36" s="187"/>
      <x:c r="J36" s="188" t="str">
        <x:f>IF(O36="","",IF(INDEX(Chamados!$N$5:$N$204,O36)="","",INDEX(Chamados!$N$5:$N$204,O36)))</x:f>
      </x:c>
      <x:c r="K36" s="188"/>
      <x:c r="L36" s="188"/>
      <x:c r="M36" s="188"/>
      <x:c r="N36" s="1"/>
      <x:c r="O36" s="1" t="str">
        <x:f>IFERROR(MATCH(9,Chamados!$AC$5:$AC$204,0),"")</x:f>
      </x:c>
      <x:c r="P36" s="1"/>
      <x:c r="Q36" s="1"/>
      <x:c r="R36" s="1"/>
      <x:c r="S36" s="1"/>
      <x:c r="T36" s="1"/>
      <x:c r="U36" s="1"/>
      <x:c r="V36" s="1"/>
      <x:c r="W36" s="1"/>
    </x:row>
    <x:row r="37" ht="34" customHeight="1">
      <x:c r="A37" s="190" t="str">
        <x:f>IF(O37="","",IF(INDEX(Chamados!$A$5:$A$204,O37)="","",INDEX(Chamados!$A$5:$A$204,O37)))</x:f>
      </x:c>
      <x:c r="B37" s="190"/>
      <x:c r="C37" s="190" t="str">
        <x:f>IF(O37="","",IF(INDEX(Chamados!$X$5:$X$204,O37)&lt;&gt;"",INDEX(Chamados!$X$5:$X$204,O37),INDEX(Chamados!$V$5:$V$204,O37)))</x:f>
      </x:c>
      <x:c r="D37" s="190"/>
      <x:c r="E37" s="190"/>
      <x:c r="F37" s="190"/>
      <x:c r="G37" s="190" t="str">
        <x:f>IF(O37="","",IF(INDEX(Chamados!$I$5:$I$204,O37)="","",INDEX(Chamados!$I$5:$I$204,O37)))</x:f>
      </x:c>
      <x:c r="H37" s="190"/>
      <x:c r="I37" s="190"/>
      <x:c r="J37" s="191" t="str">
        <x:f>IF(O37="","",IF(INDEX(Chamados!$N$5:$N$204,O37)="","",INDEX(Chamados!$N$5:$N$204,O37)))</x:f>
      </x:c>
      <x:c r="K37" s="191"/>
      <x:c r="L37" s="191"/>
      <x:c r="M37" s="191"/>
      <x:c r="N37" s="1"/>
      <x:c r="O37" s="1" t="str">
        <x:f>IFERROR(MATCH(10,Chamados!$AC$5:$AC$204,0),"")</x:f>
      </x:c>
      <x:c r="P37" s="1"/>
      <x:c r="Q37" s="1"/>
      <x:c r="R37" s="1"/>
      <x:c r="S37" s="1"/>
      <x:c r="T37" s="1"/>
      <x:c r="U37" s="1"/>
      <x:c r="V37" s="1"/>
      <x:c r="W37" s="1"/>
    </x:row>
    <x:row r="38">
      <x:c r="A38" s="159"/>
      <x:c r="B38" s="159"/>
      <x:c r="C38" s="159"/>
      <x:c r="D38" s="159"/>
      <x:c r="E38" s="159"/>
      <x:c r="F38" s="159"/>
      <x:c r="G38" s="159"/>
      <x:c r="H38" s="159"/>
      <x:c r="I38" s="159"/>
      <x:c r="J38" s="159"/>
      <x:c r="K38" s="159"/>
      <x:c r="L38" s="159"/>
      <x:c r="M38" s="159"/>
      <x:c r="N38" s="1"/>
      <x:c r="O38" s="1"/>
      <x:c r="P38" s="1"/>
      <x:c r="Q38" s="1"/>
      <x:c r="R38" s="1"/>
      <x:c r="S38" s="1"/>
      <x:c r="T38" s="1"/>
      <x:c r="U38" s="1"/>
      <x:c r="V38" s="1"/>
      <x:c r="W38" s="1"/>
    </x:row>
    <x:row r="39" ht="25" customHeight="1">
      <x:c r="A39" s="192" t="str">
        <x:v>SLA = concluídos no prazo ÷ concluídos válidos. Sem amostra: n.a. Tempo médio em horas corridas. Equipe mostra carga total, independente do filtro do painel. Corrija dados antes de apresentar.</x:v>
      </x:c>
      <x:c r="B39" s="192"/>
      <x:c r="C39" s="192"/>
      <x:c r="D39" s="192"/>
      <x:c r="E39" s="192"/>
      <x:c r="F39" s="192"/>
      <x:c r="G39" s="192"/>
      <x:c r="H39" s="192"/>
      <x:c r="I39" s="192"/>
      <x:c r="J39" s="192"/>
      <x:c r="K39" s="192"/>
      <x:c r="L39" s="192"/>
      <x:c r="M39" s="192"/>
      <x:c r="N39" s="1"/>
      <x:c r="O39" s="1"/>
      <x:c r="P39" s="1"/>
      <x:c r="Q39" s="1"/>
      <x:c r="R39" s="1"/>
      <x:c r="S39" s="1"/>
      <x:c r="T39" s="1"/>
      <x:c r="U39" s="1"/>
      <x:c r="V39" s="1"/>
      <x:c r="W39" s="1"/>
    </x:row>
    <x:row r="40" ht="25" customHeight="1">
      <x:c r="A40" s="192"/>
      <x:c r="B40" s="192"/>
      <x:c r="C40" s="192"/>
      <x:c r="D40" s="192"/>
      <x:c r="E40" s="192"/>
      <x:c r="F40" s="192"/>
      <x:c r="G40" s="192"/>
      <x:c r="H40" s="192"/>
      <x:c r="I40" s="192"/>
      <x:c r="J40" s="192"/>
      <x:c r="K40" s="192"/>
      <x:c r="L40" s="192"/>
      <x:c r="M40" s="192"/>
      <x:c r="N40" s="1"/>
      <x:c r="O40" s="1"/>
      <x:c r="P40" s="1"/>
      <x:c r="Q40" s="1"/>
      <x:c r="R40" s="1"/>
      <x:c r="S40" s="1"/>
      <x:c r="T40" s="1"/>
      <x:c r="U40" s="1"/>
      <x:c r="V40" s="1"/>
      <x:c r="W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</x:row>
    <x:row r="20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  <x:c r="M201" s="1"/>
      <x:c r="N201" s="1"/>
      <x:c r="O201" s="1"/>
      <x:c r="P201" s="1"/>
      <x:c r="Q201" s="1"/>
      <x:c r="R201" s="1"/>
      <x:c r="S201" s="1"/>
      <x:c r="T201" s="1"/>
      <x:c r="U201" s="1"/>
      <x:c r="V201" s="1"/>
      <x:c r="W201" s="1"/>
    </x:row>
    <x:row r="202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  <x:c r="R202" s="1"/>
      <x:c r="S202" s="1"/>
      <x:c r="T202" s="1"/>
      <x:c r="U202" s="1"/>
      <x:c r="V202" s="1"/>
      <x:c r="W202" s="1"/>
    </x:row>
    <x:row r="203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  <x:c r="R203" s="1"/>
      <x:c r="S203" s="1"/>
      <x:c r="T203" s="1"/>
      <x:c r="U203" s="1"/>
      <x:c r="V203" s="1"/>
      <x:c r="W203" s="1"/>
    </x:row>
    <x:row r="204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  <x:c r="R204" s="1"/>
      <x:c r="S204" s="1"/>
      <x:c r="T204" s="1"/>
      <x:c r="U204" s="1"/>
      <x:c r="V204" s="1"/>
      <x:c r="W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</x:row>
  </x:sheetData>
  <x:mergeCells>
    <x:mergeCell ref="A9:D9"/>
    <x:mergeCell ref="A5:B5"/>
    <x:mergeCell ref="A6:B6"/>
    <x:mergeCell ref="C5:D5"/>
    <x:mergeCell ref="C6:D6"/>
    <x:mergeCell ref="E5:F5"/>
    <x:mergeCell ref="E6:F6"/>
    <x:mergeCell ref="G5:H5"/>
    <x:mergeCell ref="G6:H6"/>
    <x:mergeCell ref="I5:K5"/>
    <x:mergeCell ref="I6:K6"/>
    <x:mergeCell ref="L5:M5"/>
    <x:mergeCell ref="L6:M6"/>
    <x:mergeCell ref="A1:M2"/>
    <x:mergeCell ref="A3:C3"/>
    <x:mergeCell ref="D3:F3"/>
    <x:mergeCell ref="G3:M3"/>
    <x:mergeCell ref="A17:D17"/>
    <x:mergeCell ref="A18:C18"/>
    <x:mergeCell ref="A19:C19"/>
    <x:mergeCell ref="A20:C20"/>
    <x:mergeCell ref="A21:C21"/>
    <x:mergeCell ref="A22:C22"/>
    <x:mergeCell ref="A24:M24"/>
    <x:mergeCell ref="A26:M26"/>
    <x:mergeCell ref="A27:B27"/>
    <x:mergeCell ref="C27:F27"/>
    <x:mergeCell ref="G27:I27"/>
    <x:mergeCell ref="J27:M27"/>
    <x:mergeCell ref="A28:B28"/>
    <x:mergeCell ref="G28:I28"/>
    <x:mergeCell ref="J28:M28"/>
    <x:mergeCell ref="C28:F28"/>
    <x:mergeCell ref="A29:B29"/>
    <x:mergeCell ref="G29:I29"/>
    <x:mergeCell ref="J29:M29"/>
    <x:mergeCell ref="C29:F29"/>
    <x:mergeCell ref="A30:B30"/>
    <x:mergeCell ref="G30:I30"/>
    <x:mergeCell ref="J30:M30"/>
    <x:mergeCell ref="C30:F30"/>
    <x:mergeCell ref="A31:B31"/>
    <x:mergeCell ref="G31:I31"/>
    <x:mergeCell ref="J31:M31"/>
    <x:mergeCell ref="C31:F31"/>
    <x:mergeCell ref="A32:B32"/>
    <x:mergeCell ref="G32:I32"/>
    <x:mergeCell ref="J32:M32"/>
    <x:mergeCell ref="C32:F32"/>
    <x:mergeCell ref="A33:B33"/>
    <x:mergeCell ref="G33:I33"/>
    <x:mergeCell ref="J33:M33"/>
    <x:mergeCell ref="C33:F33"/>
    <x:mergeCell ref="A34:B34"/>
    <x:mergeCell ref="G34:I34"/>
    <x:mergeCell ref="J34:M34"/>
    <x:mergeCell ref="C34:F34"/>
    <x:mergeCell ref="A35:B35"/>
    <x:mergeCell ref="G35:I35"/>
    <x:mergeCell ref="J35:M35"/>
    <x:mergeCell ref="C35:F35"/>
    <x:mergeCell ref="A36:B36"/>
    <x:mergeCell ref="G36:I36"/>
    <x:mergeCell ref="J36:M36"/>
    <x:mergeCell ref="C36:F36"/>
    <x:mergeCell ref="A37:B37"/>
    <x:mergeCell ref="G37:I37"/>
    <x:mergeCell ref="J37:M37"/>
    <x:mergeCell ref="C37:F37"/>
    <x:mergeCell ref="A39:M40"/>
  </x:mergeCells>
  <x:conditionalFormatting sqref="E6:F7">
    <x:cfRule type="cellIs" dxfId="6" priority="1" operator="greaterThan">
      <x:formula>0</x:formula>
    </x:cfRule>
  </x:conditionalFormatting>
  <x:pageMargins left="0.7" right="0.7" top="0.75" bottom="0.75" header="0.3" footer="0.3"/>
  <x:drawing xmlns:r="http://schemas.openxmlformats.org/officeDocument/2006/relationships" r:id="R8ed9611d61d34838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4" hidden="0" customWidth="1"/>
    <x:col min="2" max="2" width="21" hidden="0" customWidth="1"/>
    <x:col min="3" max="3" width="22" hidden="0" customWidth="1"/>
    <x:col min="4" max="4" width="18" hidden="0" customWidth="1"/>
    <x:col min="5" max="5" width="21" hidden="0" customWidth="1"/>
    <x:col min="6" max="6" width="38" hidden="0" customWidth="1"/>
    <x:col min="7" max="7" width="15" hidden="0" customWidth="1"/>
    <x:col min="8" max="8" width="15" hidden="0" customWidth="1"/>
    <x:col min="9" max="9" width="22" hidden="0" customWidth="1"/>
    <x:col min="10" max="10" width="24" hidden="0" customWidth="1"/>
    <x:col min="11" max="11" width="21" hidden="0" customWidth="1"/>
    <x:col min="12" max="12" width="21" hidden="0" customWidth="1"/>
    <x:col min="13" max="13" width="17" hidden="0" customWidth="1"/>
    <x:col min="14" max="14" width="21" hidden="0" customWidth="1"/>
    <x:col min="15" max="15" width="21" hidden="0" customWidth="1"/>
    <x:col min="16" max="16" width="17" hidden="0" customWidth="1"/>
    <x:col min="17" max="17" width="18" hidden="0" customWidth="1"/>
    <x:col min="18" max="18" width="16" hidden="0" customWidth="1"/>
    <x:col min="19" max="19" width="15" hidden="0" customWidth="1"/>
    <x:col min="20" max="20" width="15" hidden="0" customWidth="1"/>
    <x:col min="21" max="21" width="12" hidden="0" customWidth="1"/>
    <x:col min="22" max="22" width="22" hidden="0" customWidth="1"/>
    <x:col min="23" max="23" width="36" hidden="0" customWidth="1"/>
    <x:col min="24" max="24" width="23" hidden="0" customWidth="1"/>
    <x:col min="25" max="25" width="23" hidden="0" customWidth="1"/>
    <x:col min="26" max="26" width="23" hidden="0" customWidth="1"/>
    <x:col min="27" max="27" width="23" hidden="0" customWidth="1"/>
    <x:col min="28" max="28" width="23" hidden="0" customWidth="1"/>
    <x:col min="29" max="29" width="23" hidden="0" customWidth="1"/>
  </x:cols>
  <x:sheetData>
    <x:row r="1" ht="34" customHeight="1">
      <x:c r="A1" s="4" t="str">
        <x:v>CONTROLE DE CHAMADOS E SLA</x:v>
      </x:c>
      <x:c r="B1" s="4" t="str">
        <x:v>CONTROLE DE CHAMADOS E SLA</x:v>
      </x:c>
      <x:c r="C1" s="4" t="str">
        <x:v>CONTROLE DE CHAMADOS E SLA</x:v>
      </x:c>
      <x:c r="D1" s="4" t="str">
        <x:v>CONTROLE DE CHAMADOS E SLA</x:v>
      </x:c>
      <x:c r="E1" s="4" t="str">
        <x:v>CONTROLE DE CHAMADOS E SLA</x:v>
      </x:c>
      <x:c r="F1" s="4" t="str">
        <x:v>CONTROLE DE CHAMADOS E SLA</x:v>
      </x:c>
      <x:c r="G1" s="4" t="str">
        <x:v>CONTROLE DE CHAMADOS E SLA</x:v>
      </x:c>
      <x:c r="H1" s="4" t="str">
        <x:v>CONTROLE DE CHAMADOS E SLA</x:v>
      </x:c>
      <x:c r="I1" s="4" t="str">
        <x:v>CONTROLE DE CHAMADOS E SLA</x:v>
      </x:c>
      <x:c r="J1" s="4" t="str">
        <x:v>CONTROLE DE CHAMADOS E SLA</x:v>
      </x:c>
      <x:c r="K1" s="4" t="str">
        <x:v>CONTROLE DE CHAMADOS E SLA</x:v>
      </x:c>
      <x:c r="L1" s="4" t="str">
        <x:v>CONTROLE DE CHAMADOS E SLA</x:v>
      </x:c>
      <x:c r="M1" s="4" t="str">
        <x:v>CONTROLE DE CHAMADOS E SLA</x:v>
      </x:c>
      <x:c r="N1" s="4" t="str">
        <x:v>CONTROLE DE CHAMADOS E SLA</x:v>
      </x:c>
      <x:c r="O1" s="4" t="str">
        <x:v>CONTROLE DE CHAMADOS E SLA</x:v>
      </x:c>
      <x:c r="P1" s="4" t="str">
        <x:v>CONTROLE DE CHAMADOS E SLA</x:v>
      </x:c>
      <x:c r="Q1" s="4" t="str">
        <x:v>CONTROLE DE CHAMADOS E SLA</x:v>
      </x:c>
      <x:c r="R1" s="4" t="str">
        <x:v>CONTROLE DE CHAMADOS E SLA</x:v>
      </x:c>
      <x:c r="S1" s="4" t="str">
        <x:v>CONTROLE DE CHAMADOS E SLA</x:v>
      </x:c>
      <x:c r="T1" s="4" t="str">
        <x:v>CONTROLE DE CHAMADOS E SLA</x:v>
      </x:c>
      <x:c r="U1" s="4" t="str">
        <x:v>CONTROLE DE CHAMADOS E SLA</x:v>
      </x:c>
      <x:c r="V1" s="4" t="str">
        <x:v>CONTROLE DE CHAMADOS E SLA</x:v>
      </x:c>
      <x:c r="W1" s="4" t="str">
        <x:v>CONTROLE DE CHAMADOS E SLA</x:v>
      </x:c>
    </x:row>
    <x:row r="2" ht="28" customHeight="1">
      <x:c r="A2" s="8" t="str">
        <x:v>Preencha as células amarelas. Prazos, SLA, horas em aberto, idade, score e ação recomendada são calculados automaticamente.</x:v>
      </x:c>
      <x:c r="B2" s="8" t="str">
        <x:v>Preencha as células amarelas. Prazos, SLA, horas em aberto, idade, score e ação recomendada são calculados automaticamente.</x:v>
      </x:c>
      <x:c r="C2" s="8" t="str">
        <x:v>Preencha as células amarelas. Prazos, SLA, horas em aberto, idade, score e ação recomendada são calculados automaticamente.</x:v>
      </x:c>
      <x:c r="D2" s="8" t="str">
        <x:v>Preencha as células amarelas. Prazos, SLA, horas em aberto, idade, score e ação recomendada são calculados automaticamente.</x:v>
      </x:c>
      <x:c r="E2" s="8" t="str">
        <x:v>Preencha as células amarelas. Prazos, SLA, horas em aberto, idade, score e ação recomendada são calculados automaticamente.</x:v>
      </x:c>
      <x:c r="F2" s="8" t="str">
        <x:v>Preencha as células amarelas. Prazos, SLA, horas em aberto, idade, score e ação recomendada são calculados automaticamente.</x:v>
      </x:c>
      <x:c r="G2" s="8" t="str">
        <x:v>Preencha as células amarelas. Prazos, SLA, horas em aberto, idade, score e ação recomendada são calculados automaticamente.</x:v>
      </x:c>
      <x:c r="H2" s="8" t="str">
        <x:v>Preencha as células amarelas. Prazos, SLA, horas em aberto, idade, score e ação recomendada são calculados automaticamente.</x:v>
      </x:c>
      <x:c r="I2" s="8" t="str">
        <x:v>Preencha as células amarelas. Prazos, SLA, horas em aberto, idade, score e ação recomendada são calculados automaticamente.</x:v>
      </x:c>
      <x:c r="J2" s="8" t="str">
        <x:v>Preencha as células amarelas. Prazos, SLA, horas em aberto, idade, score e ação recomendada são calculados automaticamente.</x:v>
      </x:c>
      <x:c r="K2" s="8" t="str">
        <x:v>Preencha as células amarelas. Prazos, SLA, horas em aberto, idade, score e ação recomendada são calculados automaticamente.</x:v>
      </x:c>
      <x:c r="L2" s="8" t="str">
        <x:v>Preencha as células amarelas. Prazos, SLA, horas em aberto, idade, score e ação recomendada são calculados automaticamente.</x:v>
      </x:c>
      <x:c r="M2" s="8" t="str">
        <x:v>Preencha as células amarelas. Prazos, SLA, horas em aberto, idade, score e ação recomendada são calculados automaticamente.</x:v>
      </x:c>
      <x:c r="N2" s="8" t="str">
        <x:v>Preencha as células amarelas. Prazos, SLA, horas em aberto, idade, score e ação recomendada são calculados automaticamente.</x:v>
      </x:c>
      <x:c r="O2" s="8" t="str">
        <x:v>Preencha as células amarelas. Prazos, SLA, horas em aberto, idade, score e ação recomendada são calculados automaticamente.</x:v>
      </x:c>
      <x:c r="P2" s="8" t="str">
        <x:v>Preencha as células amarelas. Prazos, SLA, horas em aberto, idade, score e ação recomendada são calculados automaticamente.</x:v>
      </x:c>
      <x:c r="Q2" s="8" t="str">
        <x:v>Preencha as células amarelas. Prazos, SLA, horas em aberto, idade, score e ação recomendada são calculados automaticamente.</x:v>
      </x:c>
      <x:c r="R2" s="8" t="str">
        <x:v>Preencha as células amarelas. Prazos, SLA, horas em aberto, idade, score e ação recomendada são calculados automaticamente.</x:v>
      </x:c>
      <x:c r="S2" s="8" t="str">
        <x:v>Preencha as células amarelas. Prazos, SLA, horas em aberto, idade, score e ação recomendada são calculados automaticamente.</x:v>
      </x:c>
      <x:c r="T2" s="8" t="str">
        <x:v>Preencha as células amarelas. Prazos, SLA, horas em aberto, idade, score e ação recomendada são calculados automaticamente.</x:v>
      </x:c>
      <x:c r="U2" s="8" t="str">
        <x:v>Preencha as células amarelas. Prazos, SLA, horas em aberto, idade, score e ação recomendada são calculados automaticamente.</x:v>
      </x:c>
      <x:c r="V2" s="8" t="str">
        <x:v>Preencha as células amarelas. Prazos, SLA, horas em aberto, idade, score e ação recomendada são calculados automaticamente.</x:v>
      </x:c>
      <x:c r="W2" s="8" t="str">
        <x:v>Preencha as células amarelas. Prazos, SLA, horas em aberto, idade, score e ação recomendada são calculados automaticamente.</x:v>
      </x:c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42" customHeight="1">
      <x:c r="A4" s="22" t="str">
        <x:v>ID</x:v>
      </x:c>
      <x:c r="B4" s="23" t="str">
        <x:v>Abertura</x:v>
      </x:c>
      <x:c r="C4" s="23" t="str">
        <x:v>Solicitante</x:v>
      </x:c>
      <x:c r="D4" s="23" t="str">
        <x:v>Área</x:v>
      </x:c>
      <x:c r="E4" s="23" t="str">
        <x:v>Categoria</x:v>
      </x:c>
      <x:c r="F4" s="23" t="str">
        <x:v>Assunto</x:v>
      </x:c>
      <x:c r="G4" s="23" t="str">
        <x:v>Canal</x:v>
      </x:c>
      <x:c r="H4" s="23" t="str">
        <x:v>Prioridade</x:v>
      </x:c>
      <x:c r="I4" s="23" t="str">
        <x:v>Responsável</x:v>
      </x:c>
      <x:c r="J4" s="23" t="str">
        <x:v>Status</x:v>
      </x:c>
      <x:c r="K4" s="23" t="str">
        <x:v>Prazo 1ª resposta</x:v>
      </x:c>
      <x:c r="L4" s="23" t="str">
        <x:v>1ª resposta</x:v>
      </x:c>
      <x:c r="M4" s="23" t="str">
        <x:v>SLA resposta</x:v>
      </x:c>
      <x:c r="N4" s="23" t="str">
        <x:v>Prazo resolução</x:v>
      </x:c>
      <x:c r="O4" s="23" t="str">
        <x:v>Resolução</x:v>
      </x:c>
      <x:c r="P4" s="23" t="str">
        <x:v>SLA resolução</x:v>
      </x:c>
      <x:c r="Q4" s="23" t="str">
        <x:v>Horas em aberto</x:v>
      </x:c>
      <x:c r="R4" s="23" t="str">
        <x:v>Idade (dias)</x:v>
      </x:c>
      <x:c r="S4" s="23" t="str">
        <x:v>Impacto (1-5)</x:v>
      </x:c>
      <x:c r="T4" s="23" t="str">
        <x:v>Urgência (1-5)</x:v>
      </x:c>
      <x:c r="U4" s="23" t="str">
        <x:v>Score</x:v>
      </x:c>
      <x:c r="V4" s="23" t="str">
        <x:v>Ação recomendada</x:v>
      </x:c>
      <x:c r="W4" s="24" t="str">
        <x:v>Observações</x:v>
      </x:c>
      <x:c r="X4" s="154" t="str">
        <x:v>Pendência de dados</x:v>
      </x:c>
      <x:c r="Y4" s="154" t="str">
        <x:v>No contexto</x:v>
      </x:c>
      <x:c r="Z4" s="154" t="str">
        <x:v>Aberto válido</x:v>
      </x:c>
      <x:c r="AA4" s="154" t="str">
        <x:v>Concluído válido</x:v>
      </x:c>
      <x:c r="AB4" s="154" t="str">
        <x:v>Prioridade de ação</x:v>
      </x:c>
      <x:c r="AC4" s="154" t="str">
        <x:v>Ordem no painel</x:v>
      </x:c>
      <x:c r="AD4" s="154" t="str">
        <x:v>Dados válidos</x:v>
      </x:c>
      <x:c r="AE4" s="154" t="str">
        <x:v>Pendência no contexto</x:v>
      </x:c>
      <x:c r="AF4" s="154" t="str">
        <x:v>Resposta ausente</x:v>
      </x:c>
    </x:row>
    <x:row r="5">
      <x:c r="A5" s="27" t="str">
        <x:v>CH-0001</x:v>
      </x:c>
      <x:c r="B5" s="48" t="n">
        <x:v>46291.333333333336</x:v>
      </x:c>
      <x:c r="C5" s="27" t="str">
        <x:v>Marina Costa</x:v>
      </x:c>
      <x:c r="D5" s="27" t="str">
        <x:v>Operações</x:v>
      </x:c>
      <x:c r="E5" s="27" t="str">
        <x:v>Software</x:v>
      </x:c>
      <x:c r="F5" s="27" t="str">
        <x:v>Sistema de expedição indisponível</x:v>
      </x:c>
      <x:c r="G5" s="27" t="str">
        <x:v>Telefone</x:v>
      </x:c>
      <x:c r="H5" s="27" t="str">
        <x:v>Crítica</x:v>
      </x:c>
      <x:c r="I5" s="27" t="str">
        <x:v>Ana Lima</x:v>
      </x:c>
      <x:c r="J5" s="27" t="str">
        <x:v>Em atendimento</x:v>
      </x:c>
      <x:c r="K5" s="49" t="n">
        <x:f>IF(OR(A5="",X5&lt;&gt;""),"",B5+INDEX(Listas!$B$6:$B$9,MATCH(H5,Listas!$A$6:$A$9,0))/24)</x:f>
        <x:v>46291.375</x:v>
      </x:c>
      <x:c r="L5" s="48" t="n">
        <x:v>46291.354166666664</x:v>
      </x:c>
      <x:c r="M5" s="50" t="str">
        <x:f>IF(A5="","",IF(X5&lt;&gt;"","DADO PENDENTE",IF(J5="Cancelado","N.A.",IF(L5&lt;&gt;"",IF(L5&lt;=K5,"ATENDIDO","ATRASADO"),IF(OR(J5="Fechado",J5="Resolvido"),"SEM EVIDÊNCIA",IF(Listas!$B$18&gt;K5,"ATRASADO","PENDENTE"))))))</x:f>
        <x:v>ATENDIDO</x:v>
      </x:c>
      <x:c r="N5" s="49" t="n">
        <x:f>IF(OR(A5="",X5&lt;&gt;""),"",B5+INDEX(Listas!$C$6:$C$9,MATCH(H5,Listas!$A$6:$A$9,0))/24)</x:f>
        <x:v>46291.5</x:v>
      </x:c>
      <x:c r="O5" s="48"/>
      <x:c r="P5" s="50" t="str">
        <x:f>IF(A5="","",IF(X5&lt;&gt;"","DADO PENDENTE",IF(J5="Cancelado","N.A.",IF(OR(J5="Fechado",J5="Resolvido"),IF(O5&lt;=N5,"ATENDIDO","ATRASADO"),IF(Listas!$B$18&gt;N5,"ATRASADO","PENDENTE")))))</x:f>
        <x:v>ATRASADO</x:v>
      </x:c>
      <x:c r="Q5" s="51" t="n">
        <x:f>IF(OR(A5="",X5&lt;&gt;"",J5="Cancelado"),"",24*IF(OR(J5="Fechado",J5="Resolvido"),O5-B5,Listas!$B$18-B5))</x:f>
        <x:v>9.999999999941792</x:v>
      </x:c>
      <x:c r="R5" s="52" t="n">
        <x:f>IF(OR(A5="",X5&lt;&gt;"",J5="Cancelado"),"",INT(IF(OR(J5="Fechado",J5="Resolvido"),O5-B5,Listas!$B$18-B5)))</x:f>
        <x:v>0</x:v>
      </x:c>
      <x:c r="S5" s="53" t="n">
        <x:v>5</x:v>
      </x:c>
      <x:c r="T5" s="53" t="n">
        <x:v>5</x:v>
      </x:c>
      <x:c r="U5" s="52" t="n">
        <x:f>IF(OR(A5="",X5&lt;&gt;"",J5="Cancelado"),"",S5*T5)</x:f>
        <x:v>25</x:v>
      </x:c>
      <x:c r="V5" s="50" t="str">
        <x:f>IF(A5="","",IF(X5&lt;&gt;"","CORRIGIR DADOS",IF(J5="Cancelado","CANCELADO",IF(OR(J5="Fechado",J5="Resolvido"),"CONCLUÍDO",IF(OR(P5="ATRASADO",U5&gt;=Listas!$B$16),"ESCALAR",IF(AND(M5="ATRASADO",L5=""),"RESPONDER AGORA",IF(R5&gt;=Listas!$B$14,"REVISAR BACKLOG","ACOMPANHAR")))))))</x:f>
        <x:v>ESCALAR</x:v>
      </x:c>
      <x:c r="W5" s="27" t="str">
        <x:v>Operação parada</x:v>
      </x:c>
      <x:c r="X5" s="194" t="str">
        <x:f>IF(COUNTA(A5:J5,L5,O5,S5:T5,W5)=0,"",IF(OR(NOT(ISNUMBER(Listas!$B$14)),Listas!$B$14&lt;0,NOT(ISNUMBER(Listas!$B$16)),Listas!$B$16&lt;1,COUNT(Listas!$B$6:$C$9)&lt;&gt;8,MIN(Listas!$B$6:$C$9)&lt;=0),"Parâmetros inválidos",IF(A5="","ID ausente",IF(COUNTIFS($A$5:$A$204,A5)&lt;&gt;1,"ID duplicado",IF(OR(NOT(ISNUMBER(B5)),B5&lt;=0),"Abertura inválida",IF(OR(NOT(ISNUMBER(Listas!$B$18)),Listas!$B$18&lt;=0),"Data da análise inválida",IF(B5&gt;Listas!$B$18,"Abertura após análise",IF(COUNTIFS(Listas!$A$6:$A$9,H5)&lt;&gt;1,"Prioridade inválida",IF(COUNTIFS(Equipe!$A$5:$A$12,I5)&lt;&gt;1,"Responsável inválido",IF(COUNTIFS(Listas!$E$6:$E$11,J5)&lt;&gt;1,"Status inválido",IF(AND(L5&lt;&gt;"",OR(NOT(ISNUMBER(L5)),L5&lt;B5,L5&gt;Listas!$B$18)),"Resposta inválida",IF(AND(O5&lt;&gt;"",OR(NOT(ISNUMBER(O5)),O5&lt;B5,O5&gt;Listas!$B$18)),"Resolução inválida",IF(AND(OR(J5="Fechado",J5="Resolvido"),O5=""),"Conclusão sem resolução",IF(OR(NOT(ISNUMBER(S5)),S5&lt;1,S5&gt;5,IF(ISNUMBER(S5),S5&lt;&gt;INT(S5),FALSE),NOT(ISNUMBER(T5)),T5&lt;1,T5&gt;5,IF(ISNUMBER(T5),T5&lt;&gt;INT(T5),FALSE)),"Impacto ou urgência inválido",""))))))))))))))</x:f>
      </x:c>
      <x:c r="Y5" s="194" t="n">
        <x:f>IF(AND(COUNTA(A5:J5,L5,O5,S5:T5,W5)&gt;0,OR(Listas!$B$20="Todos",I5=Listas!$B$20)),1,0)</x:f>
        <x:v>1</x:v>
      </x:c>
      <x:c r="Z5" s="194" t="n">
        <x:f>IF(AND(Y5=1,X5="",J5&lt;&gt;"Cancelado",NOT(OR(J5="Fechado",J5="Resolvido"))),1,0)</x:f>
        <x:v>1</x:v>
      </x:c>
      <x:c r="AA5" s="194" t="n">
        <x:f>IF(AND(Y5=1,X5="",OR(J5="Fechado",J5="Resolvido")),1,0)</x:f>
        <x:v>0</x:v>
      </x:c>
      <x:c r="AB5" s="194" t="n">
        <x:f>IF(Y5=0,0,IF(X5&lt;&gt;"",1,IF(Z5=0,0,IF(P5="ATRASADO",2,IF(AND(M5="ATRASADO",L5=""),3,IF(V5="ESCALAR",4,IF(V5="REVISAR BACKLOG",5,0)))))))</x:f>
        <x:v>2</x:v>
      </x:c>
      <x:c r="AC5" s="194" t="n">
        <x:f>IF(AB5=0,"",COUNTIFS($AB$5:$AB$204,"&gt;0",$AB$5:$AB$204,"&lt;"&amp;AB5)+COUNTIFS($AB$5:AB5,AB5))</x:f>
        <x:v>1</x:v>
      </x:c>
      <x:c r="AD5" s="194" t="n">
        <x:f>IF(AND(A5&lt;&gt;"",X5=""),1,0)</x:f>
        <x:v>1</x:v>
      </x:c>
      <x:c r="AE5" s="194" t="n">
        <x:f>IF(AND(Y5=1,X5&lt;&gt;""),1,0)</x:f>
        <x:v>0</x:v>
      </x:c>
      <x:c r="AF5" s="194" t="n">
        <x:f>IF(L5="",1,0)</x:f>
        <x:v>0</x:v>
      </x:c>
    </x:row>
    <x:row r="6">
      <x:c r="A6" s="28" t="str">
        <x:v>CH-0002</x:v>
      </x:c>
      <x:c r="B6" s="41" t="n">
        <x:v>46291.385416666664</x:v>
      </x:c>
      <x:c r="C6" s="28" t="str">
        <x:v>João Alves</x:v>
      </x:c>
      <x:c r="D6" s="28" t="str">
        <x:v>Financeiro</x:v>
      </x:c>
      <x:c r="E6" s="28" t="str">
        <x:v>Acesso e senha</x:v>
      </x:c>
      <x:c r="F6" s="28" t="str">
        <x:v>Usuário bloqueado no ERP</x:v>
      </x:c>
      <x:c r="G6" s="28" t="str">
        <x:v>Portal</x:v>
      </x:c>
      <x:c r="H6" s="28" t="str">
        <x:v>Alta</x:v>
      </x:c>
      <x:c r="I6" s="28" t="str">
        <x:v>Bruno Reis</x:v>
      </x:c>
      <x:c r="J6" s="28" t="str">
        <x:v>Novo</x:v>
      </x:c>
      <x:c r="K6" s="54" t="n">
        <x:f>IF(OR(A6="",X6&lt;&gt;""),"",B6+INDEX(Listas!$B$6:$B$9,MATCH(H6,Listas!$A$6:$A$9,0))/24)</x:f>
        <x:v>46291.55208333333</x:v>
      </x:c>
      <x:c r="L6" s="41"/>
      <x:c r="M6" s="55" t="str">
        <x:f>IF(A6="","",IF(X6&lt;&gt;"","DADO PENDENTE",IF(J6="Cancelado","N.A.",IF(L6&lt;&gt;"",IF(L6&lt;=K6,"ATENDIDO","ATRASADO"),IF(OR(J6="Fechado",J6="Resolvido"),"SEM EVIDÊNCIA",IF(Listas!$B$18&gt;K6,"ATRASADO","PENDENTE"))))))</x:f>
        <x:v>ATRASADO</x:v>
      </x:c>
      <x:c r="N6" s="54" t="n">
        <x:f>IF(OR(A6="",X6&lt;&gt;""),"",B6+INDEX(Listas!$C$6:$C$9,MATCH(H6,Listas!$A$6:$A$9,0))/24)</x:f>
        <x:v>46292.05208333333</x:v>
      </x:c>
      <x:c r="O6" s="41"/>
      <x:c r="P6" s="55" t="str">
        <x:f>IF(A6="","",IF(X6&lt;&gt;"","DADO PENDENTE",IF(J6="Cancelado","N.A.",IF(OR(J6="Fechado",J6="Resolvido"),IF(O6&lt;=N6,"ATENDIDO","ATRASADO"),IF(Listas!$B$18&gt;N6,"ATRASADO","PENDENTE")))))</x:f>
        <x:v>PENDENTE</x:v>
      </x:c>
      <x:c r="Q6" s="56" t="n">
        <x:f>IF(OR(A6="",X6&lt;&gt;"",J6="Cancelado"),"",24*IF(OR(J6="Fechado",J6="Resolvido"),O6-B6,Listas!$B$18-B6))</x:f>
        <x:v>8.750000000058208</x:v>
      </x:c>
      <x:c r="R6" s="57" t="n">
        <x:f>IF(OR(A6="",X6&lt;&gt;"",J6="Cancelado"),"",INT(IF(OR(J6="Fechado",J6="Resolvido"),O6-B6,Listas!$B$18-B6)))</x:f>
        <x:v>0</x:v>
      </x:c>
      <x:c r="S6" s="58" t="n">
        <x:v>4</x:v>
      </x:c>
      <x:c r="T6" s="58" t="n">
        <x:v>4</x:v>
      </x:c>
      <x:c r="U6" s="57" t="n">
        <x:f>IF(OR(A6="",X6&lt;&gt;"",J6="Cancelado"),"",S6*T6)</x:f>
        <x:v>16</x:v>
      </x:c>
      <x:c r="V6" s="55" t="str">
        <x:f>IF(A6="","",IF(X6&lt;&gt;"","CORRIGIR DADOS",IF(J6="Cancelado","CANCELADO",IF(OR(J6="Fechado",J6="Resolvido"),"CONCLUÍDO",IF(OR(P6="ATRASADO",U6&gt;=Listas!$B$16),"ESCALAR",IF(AND(M6="ATRASADO",L6=""),"RESPONDER AGORA",IF(R6&gt;=Listas!$B$14,"REVISAR BACKLOG","ACOMPANHAR")))))))</x:f>
        <x:v>ESCALAR</x:v>
      </x:c>
      <x:c r="W6" s="28" t="str">
        <x:v>Fechamento mensal</x:v>
      </x:c>
      <x:c r="X6" s="194" t="str">
        <x:f>IF(COUNTA(A6:J6,L6,O6,S6:T6,W6)=0,"",IF(OR(NOT(ISNUMBER(Listas!$B$14)),Listas!$B$14&lt;0,NOT(ISNUMBER(Listas!$B$16)),Listas!$B$16&lt;1,COUNT(Listas!$B$6:$C$9)&lt;&gt;8,MIN(Listas!$B$6:$C$9)&lt;=0),"Parâmetros inválidos",IF(A6="","ID ausente",IF(COUNTIFS($A$5:$A$204,A6)&lt;&gt;1,"ID duplicado",IF(OR(NOT(ISNUMBER(B6)),B6&lt;=0),"Abertura inválida",IF(OR(NOT(ISNUMBER(Listas!$B$18)),Listas!$B$18&lt;=0),"Data da análise inválida",IF(B6&gt;Listas!$B$18,"Abertura após análise",IF(COUNTIFS(Listas!$A$6:$A$9,H6)&lt;&gt;1,"Prioridade inválida",IF(COUNTIFS(Equipe!$A$5:$A$12,I6)&lt;&gt;1,"Responsável inválido",IF(COUNTIFS(Listas!$E$6:$E$11,J6)&lt;&gt;1,"Status inválido",IF(AND(L6&lt;&gt;"",OR(NOT(ISNUMBER(L6)),L6&lt;B6,L6&gt;Listas!$B$18)),"Resposta inválida",IF(AND(O6&lt;&gt;"",OR(NOT(ISNUMBER(O6)),O6&lt;B6,O6&gt;Listas!$B$18)),"Resolução inválida",IF(AND(OR(J6="Fechado",J6="Resolvido"),O6=""),"Conclusão sem resolução",IF(OR(NOT(ISNUMBER(S6)),S6&lt;1,S6&gt;5,IF(ISNUMBER(S6),S6&lt;&gt;INT(S6),FALSE),NOT(ISNUMBER(T6)),T6&lt;1,T6&gt;5,IF(ISNUMBER(T6),T6&lt;&gt;INT(T6),FALSE)),"Impacto ou urgência inválido",""))))))))))))))</x:f>
      </x:c>
      <x:c r="Y6" s="194" t="n">
        <x:f>IF(AND(COUNTA(A6:J6,L6,O6,S6:T6,W6)&gt;0,OR(Listas!$B$20="Todos",I6=Listas!$B$20)),1,0)</x:f>
        <x:v>1</x:v>
      </x:c>
      <x:c r="Z6" s="194" t="n">
        <x:f>IF(AND(Y6=1,X6="",J6&lt;&gt;"Cancelado",NOT(OR(J6="Fechado",J6="Resolvido"))),1,0)</x:f>
        <x:v>1</x:v>
      </x:c>
      <x:c r="AA6" s="194" t="n">
        <x:f>IF(AND(Y6=1,X6="",OR(J6="Fechado",J6="Resolvido")),1,0)</x:f>
        <x:v>0</x:v>
      </x:c>
      <x:c r="AB6" s="194" t="n">
        <x:f>IF(Y6=0,0,IF(X6&lt;&gt;"",1,IF(Z6=0,0,IF(P6="ATRASADO",2,IF(AND(M6="ATRASADO",L6=""),3,IF(V6="ESCALAR",4,IF(V6="REVISAR BACKLOG",5,0)))))))</x:f>
        <x:v>3</x:v>
      </x:c>
      <x:c r="AC6" s="194" t="n">
        <x:f>IF(AB6=0,"",COUNTIFS($AB$5:$AB$204,"&gt;0",$AB$5:$AB$204,"&lt;"&amp;AB6)+COUNTIFS($AB$5:AB6,AB6))</x:f>
        <x:v>3</x:v>
      </x:c>
      <x:c r="AD6" s="194" t="n">
        <x:f>IF(AND(A6&lt;&gt;"",X6=""),1,0)</x:f>
        <x:v>1</x:v>
      </x:c>
      <x:c r="AE6" s="194" t="n">
        <x:f>IF(AND(Y6=1,X6&lt;&gt;""),1,0)</x:f>
        <x:v>0</x:v>
      </x:c>
      <x:c r="AF6" s="194" t="n">
        <x:f>IF(L6="",1,0)</x:f>
        <x:v>1</x:v>
      </x:c>
    </x:row>
    <x:row r="7">
      <x:c r="A7" s="28" t="str">
        <x:v>CH-0003</x:v>
      </x:c>
      <x:c r="B7" s="41" t="n">
        <x:v>46290.583333333336</x:v>
      </x:c>
      <x:c r="C7" s="28" t="str">
        <x:v>Paula Mendes</x:v>
      </x:c>
      <x:c r="D7" s="28" t="str">
        <x:v>Comercial</x:v>
      </x:c>
      <x:c r="E7" s="28" t="str">
        <x:v>Hardware</x:v>
      </x:c>
      <x:c r="F7" s="28" t="str">
        <x:v>Notebook sem carregar</x:v>
      </x:c>
      <x:c r="G7" s="28" t="str">
        <x:v>E-mail</x:v>
      </x:c>
      <x:c r="H7" s="28" t="str">
        <x:v>Média</x:v>
      </x:c>
      <x:c r="I7" s="28" t="str">
        <x:v>Carla Souza</x:v>
      </x:c>
      <x:c r="J7" s="28" t="str">
        <x:v>Resolvido</x:v>
      </x:c>
      <x:c r="K7" s="54" t="n">
        <x:f>IF(OR(A7="",X7&lt;&gt;""),"",B7+INDEX(Listas!$B$6:$B$9,MATCH(H7,Listas!$A$6:$A$9,0))/24)</x:f>
        <x:v>46290.91666666667</x:v>
      </x:c>
      <x:c r="L7" s="41" t="n">
        <x:v>46290.666666666664</x:v>
      </x:c>
      <x:c r="M7" s="55" t="str">
        <x:f>IF(A7="","",IF(X7&lt;&gt;"","DADO PENDENTE",IF(J7="Cancelado","N.A.",IF(L7&lt;&gt;"",IF(L7&lt;=K7,"ATENDIDO","ATRASADO"),IF(OR(J7="Fechado",J7="Resolvido"),"SEM EVIDÊNCIA",IF(Listas!$B$18&gt;K7,"ATRASADO","PENDENTE"))))))</x:f>
        <x:v>ATENDIDO</x:v>
      </x:c>
      <x:c r="N7" s="54" t="n">
        <x:f>IF(OR(A7="",X7&lt;&gt;""),"",B7+INDEX(Listas!$C$6:$C$9,MATCH(H7,Listas!$A$6:$A$9,0))/24)</x:f>
        <x:v>46292.25</x:v>
      </x:c>
      <x:c r="O7" s="41" t="n">
        <x:v>46291.416666666664</x:v>
      </x:c>
      <x:c r="P7" s="55" t="str">
        <x:f>IF(A7="","",IF(X7&lt;&gt;"","DADO PENDENTE",IF(J7="Cancelado","N.A.",IF(OR(J7="Fechado",J7="Resolvido"),IF(O7&lt;=N7,"ATENDIDO","ATRASADO"),IF(Listas!$B$18&gt;N7,"ATRASADO","PENDENTE")))))</x:f>
        <x:v>ATENDIDO</x:v>
      </x:c>
      <x:c r="Q7" s="56" t="n">
        <x:f>IF(OR(A7="",X7&lt;&gt;"",J7="Cancelado"),"",24*IF(OR(J7="Fechado",J7="Resolvido"),O7-B7,Listas!$B$18-B7))</x:f>
        <x:v>19.999999999883585</x:v>
      </x:c>
      <x:c r="R7" s="57" t="n">
        <x:f>IF(OR(A7="",X7&lt;&gt;"",J7="Cancelado"),"",INT(IF(OR(J7="Fechado",J7="Resolvido"),O7-B7,Listas!$B$18-B7)))</x:f>
        <x:v>0</x:v>
      </x:c>
      <x:c r="S7" s="58" t="n">
        <x:v>3</x:v>
      </x:c>
      <x:c r="T7" s="58" t="n">
        <x:v>2</x:v>
      </x:c>
      <x:c r="U7" s="57" t="n">
        <x:f>IF(OR(A7="",X7&lt;&gt;"",J7="Cancelado"),"",S7*T7)</x:f>
        <x:v>6</x:v>
      </x:c>
      <x:c r="V7" s="55" t="str">
        <x:f>IF(A7="","",IF(X7&lt;&gt;"","CORRIGIR DADOS",IF(J7="Cancelado","CANCELADO",IF(OR(J7="Fechado",J7="Resolvido"),"CONCLUÍDO",IF(OR(P7="ATRASADO",U7&gt;=Listas!$B$16),"ESCALAR",IF(AND(M7="ATRASADO",L7=""),"RESPONDER AGORA",IF(R7&gt;=Listas!$B$14,"REVISAR BACKLOG","ACOMPANHAR")))))))</x:f>
        <x:v>CONCLUÍDO</x:v>
      </x:c>
      <x:c r="W7" s="28" t="str">
        <x:v>Fonte substituída</x:v>
      </x:c>
      <x:c r="X7" s="194" t="str">
        <x:f>IF(COUNTA(A7:J7,L7,O7,S7:T7,W7)=0,"",IF(OR(NOT(ISNUMBER(Listas!$B$14)),Listas!$B$14&lt;0,NOT(ISNUMBER(Listas!$B$16)),Listas!$B$16&lt;1,COUNT(Listas!$B$6:$C$9)&lt;&gt;8,MIN(Listas!$B$6:$C$9)&lt;=0),"Parâmetros inválidos",IF(A7="","ID ausente",IF(COUNTIFS($A$5:$A$204,A7)&lt;&gt;1,"ID duplicado",IF(OR(NOT(ISNUMBER(B7)),B7&lt;=0),"Abertura inválida",IF(OR(NOT(ISNUMBER(Listas!$B$18)),Listas!$B$18&lt;=0),"Data da análise inválida",IF(B7&gt;Listas!$B$18,"Abertura após análise",IF(COUNTIFS(Listas!$A$6:$A$9,H7)&lt;&gt;1,"Prioridade inválida",IF(COUNTIFS(Equipe!$A$5:$A$12,I7)&lt;&gt;1,"Responsável inválido",IF(COUNTIFS(Listas!$E$6:$E$11,J7)&lt;&gt;1,"Status inválido",IF(AND(L7&lt;&gt;"",OR(NOT(ISNUMBER(L7)),L7&lt;B7,L7&gt;Listas!$B$18)),"Resposta inválida",IF(AND(O7&lt;&gt;"",OR(NOT(ISNUMBER(O7)),O7&lt;B7,O7&gt;Listas!$B$18)),"Resolução inválida",IF(AND(OR(J7="Fechado",J7="Resolvido"),O7=""),"Conclusão sem resolução",IF(OR(NOT(ISNUMBER(S7)),S7&lt;1,S7&gt;5,IF(ISNUMBER(S7),S7&lt;&gt;INT(S7),FALSE),NOT(ISNUMBER(T7)),T7&lt;1,T7&gt;5,IF(ISNUMBER(T7),T7&lt;&gt;INT(T7),FALSE)),"Impacto ou urgência inválido",""))))))))))))))</x:f>
      </x:c>
      <x:c r="Y7" s="194" t="n">
        <x:f>IF(AND(COUNTA(A7:J7,L7,O7,S7:T7,W7)&gt;0,OR(Listas!$B$20="Todos",I7=Listas!$B$20)),1,0)</x:f>
        <x:v>1</x:v>
      </x:c>
      <x:c r="Z7" s="194" t="n">
        <x:f>IF(AND(Y7=1,X7="",J7&lt;&gt;"Cancelado",NOT(OR(J7="Fechado",J7="Resolvido"))),1,0)</x:f>
        <x:v>0</x:v>
      </x:c>
      <x:c r="AA7" s="194" t="n">
        <x:f>IF(AND(Y7=1,X7="",OR(J7="Fechado",J7="Resolvido")),1,0)</x:f>
        <x:v>1</x:v>
      </x:c>
      <x:c r="AB7" s="194" t="n">
        <x:f>IF(Y7=0,0,IF(X7&lt;&gt;"",1,IF(Z7=0,0,IF(P7="ATRASADO",2,IF(AND(M7="ATRASADO",L7=""),3,IF(V7="ESCALAR",4,IF(V7="REVISAR BACKLOG",5,0)))))))</x:f>
        <x:v>0</x:v>
      </x:c>
      <x:c r="AC7" s="194" t="str">
        <x:f>IF(AB7=0,"",COUNTIFS($AB$5:$AB$204,"&gt;0",$AB$5:$AB$204,"&lt;"&amp;AB7)+COUNTIFS($AB$5:AB7,AB7))</x:f>
      </x:c>
      <x:c r="AD7" s="194" t="n">
        <x:f>IF(AND(A7&lt;&gt;"",X7=""),1,0)</x:f>
        <x:v>1</x:v>
      </x:c>
      <x:c r="AE7" s="194" t="n">
        <x:f>IF(AND(Y7=1,X7&lt;&gt;""),1,0)</x:f>
        <x:v>0</x:v>
      </x:c>
      <x:c r="AF7" s="194" t="n">
        <x:f>IF(L7="",1,0)</x:f>
        <x:v>0</x:v>
      </x:c>
    </x:row>
    <x:row r="8">
      <x:c r="A8" s="28" t="str">
        <x:v>CH-0004</x:v>
      </x:c>
      <x:c r="B8" s="41" t="n">
        <x:v>46289.416666666664</x:v>
      </x:c>
      <x:c r="C8" s="28" t="str">
        <x:v>Rafael Nunes</x:v>
      </x:c>
      <x:c r="D8" s="28" t="str">
        <x:v>RH</x:v>
      </x:c>
      <x:c r="E8" s="28" t="str">
        <x:v>Solicitação</x:v>
      </x:c>
      <x:c r="F8" s="28" t="str">
        <x:v>Instalar aplicativo de benefícios</x:v>
      </x:c>
      <x:c r="G8" s="28" t="str">
        <x:v>Portal</x:v>
      </x:c>
      <x:c r="H8" s="28" t="str">
        <x:v>Baixa</x:v>
      </x:c>
      <x:c r="I8" s="28" t="str">
        <x:v>Diego Martins</x:v>
      </x:c>
      <x:c r="J8" s="28" t="str">
        <x:v>Aguardando solicitante</x:v>
      </x:c>
      <x:c r="K8" s="54" t="n">
        <x:f>IF(OR(A8="",X8&lt;&gt;""),"",B8+INDEX(Listas!$B$6:$B$9,MATCH(H8,Listas!$A$6:$A$9,0))/24)</x:f>
        <x:v>46290.08333333333</x:v>
      </x:c>
      <x:c r="L8" s="41" t="n">
        <x:v>46290.375</x:v>
      </x:c>
      <x:c r="M8" s="55" t="str">
        <x:f>IF(A8="","",IF(X8&lt;&gt;"","DADO PENDENTE",IF(J8="Cancelado","N.A.",IF(L8&lt;&gt;"",IF(L8&lt;=K8,"ATENDIDO","ATRASADO"),IF(OR(J8="Fechado",J8="Resolvido"),"SEM EVIDÊNCIA",IF(Listas!$B$18&gt;K8,"ATRASADO","PENDENTE"))))))</x:f>
        <x:v>ATRASADO</x:v>
      </x:c>
      <x:c r="N8" s="54" t="n">
        <x:f>IF(OR(A8="",X8&lt;&gt;""),"",B8+INDEX(Listas!$C$6:$C$9,MATCH(H8,Listas!$A$6:$A$9,0))/24)</x:f>
        <x:v>46292.75</x:v>
      </x:c>
      <x:c r="O8" s="41"/>
      <x:c r="P8" s="55" t="str">
        <x:f>IF(A8="","",IF(X8&lt;&gt;"","DADO PENDENTE",IF(J8="Cancelado","N.A.",IF(OR(J8="Fechado",J8="Resolvido"),IF(O8&lt;=N8,"ATENDIDO","ATRASADO"),IF(Listas!$B$18&gt;N8,"ATRASADO","PENDENTE")))))</x:f>
        <x:v>PENDENTE</x:v>
      </x:c>
      <x:c r="Q8" s="56" t="n">
        <x:f>IF(OR(A8="",X8&lt;&gt;"",J8="Cancelado"),"",24*IF(OR(J8="Fechado",J8="Resolvido"),O8-B8,Listas!$B$18-B8))</x:f>
        <x:v>56.00000000005821</x:v>
      </x:c>
      <x:c r="R8" s="57" t="n">
        <x:f>IF(OR(A8="",X8&lt;&gt;"",J8="Cancelado"),"",INT(IF(OR(J8="Fechado",J8="Resolvido"),O8-B8,Listas!$B$18-B8)))</x:f>
        <x:v>2</x:v>
      </x:c>
      <x:c r="S8" s="58" t="n">
        <x:v>2</x:v>
      </x:c>
      <x:c r="T8" s="58" t="n">
        <x:v>2</x:v>
      </x:c>
      <x:c r="U8" s="57" t="n">
        <x:f>IF(OR(A8="",X8&lt;&gt;"",J8="Cancelado"),"",S8*T8)</x:f>
        <x:v>4</x:v>
      </x:c>
      <x:c r="V8" s="55" t="str">
        <x:f>IF(A8="","",IF(X8&lt;&gt;"","CORRIGIR DADOS",IF(J8="Cancelado","CANCELADO",IF(OR(J8="Fechado",J8="Resolvido"),"CONCLUÍDO",IF(OR(P8="ATRASADO",U8&gt;=Listas!$B$16),"ESCALAR",IF(AND(M8="ATRASADO",L8=""),"RESPONDER AGORA",IF(R8&gt;=Listas!$B$14,"REVISAR BACKLOG","ACOMPANHAR")))))))</x:f>
        <x:v>ACOMPANHAR</x:v>
      </x:c>
      <x:c r="W8" s="28" t="str">
        <x:v>Aguardando licença</x:v>
      </x:c>
      <x:c r="X8" s="194" t="str">
        <x:f>IF(COUNTA(A8:J8,L8,O8,S8:T8,W8)=0,"",IF(OR(NOT(ISNUMBER(Listas!$B$14)),Listas!$B$14&lt;0,NOT(ISNUMBER(Listas!$B$16)),Listas!$B$16&lt;1,COUNT(Listas!$B$6:$C$9)&lt;&gt;8,MIN(Listas!$B$6:$C$9)&lt;=0),"Parâmetros inválidos",IF(A8="","ID ausente",IF(COUNTIFS($A$5:$A$204,A8)&lt;&gt;1,"ID duplicado",IF(OR(NOT(ISNUMBER(B8)),B8&lt;=0),"Abertura inválida",IF(OR(NOT(ISNUMBER(Listas!$B$18)),Listas!$B$18&lt;=0),"Data da análise inválida",IF(B8&gt;Listas!$B$18,"Abertura após análise",IF(COUNTIFS(Listas!$A$6:$A$9,H8)&lt;&gt;1,"Prioridade inválida",IF(COUNTIFS(Equipe!$A$5:$A$12,I8)&lt;&gt;1,"Responsável inválido",IF(COUNTIFS(Listas!$E$6:$E$11,J8)&lt;&gt;1,"Status inválido",IF(AND(L8&lt;&gt;"",OR(NOT(ISNUMBER(L8)),L8&lt;B8,L8&gt;Listas!$B$18)),"Resposta inválida",IF(AND(O8&lt;&gt;"",OR(NOT(ISNUMBER(O8)),O8&lt;B8,O8&gt;Listas!$B$18)),"Resolução inválida",IF(AND(OR(J8="Fechado",J8="Resolvido"),O8=""),"Conclusão sem resolução",IF(OR(NOT(ISNUMBER(S8)),S8&lt;1,S8&gt;5,IF(ISNUMBER(S8),S8&lt;&gt;INT(S8),FALSE),NOT(ISNUMBER(T8)),T8&lt;1,T8&gt;5,IF(ISNUMBER(T8),T8&lt;&gt;INT(T8),FALSE)),"Impacto ou urgência inválido",""))))))))))))))</x:f>
      </x:c>
      <x:c r="Y8" s="194" t="n">
        <x:f>IF(AND(COUNTA(A8:J8,L8,O8,S8:T8,W8)&gt;0,OR(Listas!$B$20="Todos",I8=Listas!$B$20)),1,0)</x:f>
        <x:v>1</x:v>
      </x:c>
      <x:c r="Z8" s="194" t="n">
        <x:f>IF(AND(Y8=1,X8="",J8&lt;&gt;"Cancelado",NOT(OR(J8="Fechado",J8="Resolvido"))),1,0)</x:f>
        <x:v>1</x:v>
      </x:c>
      <x:c r="AA8" s="194" t="n">
        <x:f>IF(AND(Y8=1,X8="",OR(J8="Fechado",J8="Resolvido")),1,0)</x:f>
        <x:v>0</x:v>
      </x:c>
      <x:c r="AB8" s="194" t="n">
        <x:f>IF(Y8=0,0,IF(X8&lt;&gt;"",1,IF(Z8=0,0,IF(P8="ATRASADO",2,IF(AND(M8="ATRASADO",L8=""),3,IF(V8="ESCALAR",4,IF(V8="REVISAR BACKLOG",5,0)))))))</x:f>
        <x:v>0</x:v>
      </x:c>
      <x:c r="AC8" s="194" t="str">
        <x:f>IF(AB8=0,"",COUNTIFS($AB$5:$AB$204,"&gt;0",$AB$5:$AB$204,"&lt;"&amp;AB8)+COUNTIFS($AB$5:AB8,AB8))</x:f>
      </x:c>
      <x:c r="AD8" s="194" t="n">
        <x:f>IF(AND(A8&lt;&gt;"",X8=""),1,0)</x:f>
        <x:v>1</x:v>
      </x:c>
      <x:c r="AE8" s="194" t="n">
        <x:f>IF(AND(Y8=1,X8&lt;&gt;""),1,0)</x:f>
        <x:v>0</x:v>
      </x:c>
      <x:c r="AF8" s="194" t="n">
        <x:f>IF(L8="",1,0)</x:f>
        <x:v>0</x:v>
      </x:c>
    </x:row>
    <x:row r="9">
      <x:c r="A9" s="28" t="str">
        <x:v>CH-0005</x:v>
      </x:c>
      <x:c r="B9" s="41" t="n">
        <x:v>46288.458333333336</x:v>
      </x:c>
      <x:c r="C9" s="28" t="str">
        <x:v>Bianca Rocha</x:v>
      </x:c>
      <x:c r="D9" s="28" t="str">
        <x:v>Suprimentos</x:v>
      </x:c>
      <x:c r="E9" s="28" t="str">
        <x:v>Rede</x:v>
      </x:c>
      <x:c r="F9" s="28" t="str">
        <x:v>Sem acesso ao Wi-Fi do estoque</x:v>
      </x:c>
      <x:c r="G9" s="28" t="str">
        <x:v>Chat</x:v>
      </x:c>
      <x:c r="H9" s="28" t="str">
        <x:v>Alta</x:v>
      </x:c>
      <x:c r="I9" s="28" t="str">
        <x:v>Ana Lima</x:v>
      </x:c>
      <x:c r="J9" s="28" t="str">
        <x:v>Fechado</x:v>
      </x:c>
      <x:c r="K9" s="54" t="n">
        <x:f>IF(OR(A9="",X9&lt;&gt;""),"",B9+INDEX(Listas!$B$6:$B$9,MATCH(H9,Listas!$A$6:$A$9,0))/24)</x:f>
        <x:v>46288.625</x:v>
      </x:c>
      <x:c r="L9" s="41" t="n">
        <x:v>46288.510416666664</x:v>
      </x:c>
      <x:c r="M9" s="55" t="str">
        <x:f>IF(A9="","",IF(X9&lt;&gt;"","DADO PENDENTE",IF(J9="Cancelado","N.A.",IF(L9&lt;&gt;"",IF(L9&lt;=K9,"ATENDIDO","ATRASADO"),IF(OR(J9="Fechado",J9="Resolvido"),"SEM EVIDÊNCIA",IF(Listas!$B$18&gt;K9,"ATRASADO","PENDENTE"))))))</x:f>
        <x:v>ATENDIDO</x:v>
      </x:c>
      <x:c r="N9" s="54" t="n">
        <x:f>IF(OR(A9="",X9&lt;&gt;""),"",B9+INDEX(Listas!$C$6:$C$9,MATCH(H9,Listas!$A$6:$A$9,0))/24)</x:f>
        <x:v>46289.125</x:v>
      </x:c>
      <x:c r="O9" s="41" t="n">
        <x:v>46288.75</x:v>
      </x:c>
      <x:c r="P9" s="55" t="str">
        <x:f>IF(A9="","",IF(X9&lt;&gt;"","DADO PENDENTE",IF(J9="Cancelado","N.A.",IF(OR(J9="Fechado",J9="Resolvido"),IF(O9&lt;=N9,"ATENDIDO","ATRASADO"),IF(Listas!$B$18&gt;N9,"ATRASADO","PENDENTE")))))</x:f>
        <x:v>ATENDIDO</x:v>
      </x:c>
      <x:c r="Q9" s="56" t="n">
        <x:f>IF(OR(A9="",X9&lt;&gt;"",J9="Cancelado"),"",24*IF(OR(J9="Fechado",J9="Resolvido"),O9-B9,Listas!$B$18-B9))</x:f>
        <x:v>6.999999999941792</x:v>
      </x:c>
      <x:c r="R9" s="57" t="n">
        <x:f>IF(OR(A9="",X9&lt;&gt;"",J9="Cancelado"),"",INT(IF(OR(J9="Fechado",J9="Resolvido"),O9-B9,Listas!$B$18-B9)))</x:f>
        <x:v>0</x:v>
      </x:c>
      <x:c r="S9" s="58" t="n">
        <x:v>4</x:v>
      </x:c>
      <x:c r="T9" s="58" t="n">
        <x:v>3</x:v>
      </x:c>
      <x:c r="U9" s="57" t="n">
        <x:f>IF(OR(A9="",X9&lt;&gt;"",J9="Cancelado"),"",S9*T9)</x:f>
        <x:v>12</x:v>
      </x:c>
      <x:c r="V9" s="55" t="str">
        <x:f>IF(A9="","",IF(X9&lt;&gt;"","CORRIGIR DADOS",IF(J9="Cancelado","CANCELADO",IF(OR(J9="Fechado",J9="Resolvido"),"CONCLUÍDO",IF(OR(P9="ATRASADO",U9&gt;=Listas!$B$16),"ESCALAR",IF(AND(M9="ATRASADO",L9=""),"RESPONDER AGORA",IF(R9&gt;=Listas!$B$14,"REVISAR BACKLOG","ACOMPANHAR")))))))</x:f>
        <x:v>CONCLUÍDO</x:v>
      </x:c>
      <x:c r="W9" s="28" t="str">
        <x:v>Ponto de acesso reiniciado</x:v>
      </x:c>
      <x:c r="X9" s="194" t="str">
        <x:f>IF(COUNTA(A9:J9,L9,O9,S9:T9,W9)=0,"",IF(OR(NOT(ISNUMBER(Listas!$B$14)),Listas!$B$14&lt;0,NOT(ISNUMBER(Listas!$B$16)),Listas!$B$16&lt;1,COUNT(Listas!$B$6:$C$9)&lt;&gt;8,MIN(Listas!$B$6:$C$9)&lt;=0),"Parâmetros inválidos",IF(A9="","ID ausente",IF(COUNTIFS($A$5:$A$204,A9)&lt;&gt;1,"ID duplicado",IF(OR(NOT(ISNUMBER(B9)),B9&lt;=0),"Abertura inválida",IF(OR(NOT(ISNUMBER(Listas!$B$18)),Listas!$B$18&lt;=0),"Data da análise inválida",IF(B9&gt;Listas!$B$18,"Abertura após análise",IF(COUNTIFS(Listas!$A$6:$A$9,H9)&lt;&gt;1,"Prioridade inválida",IF(COUNTIFS(Equipe!$A$5:$A$12,I9)&lt;&gt;1,"Responsável inválido",IF(COUNTIFS(Listas!$E$6:$E$11,J9)&lt;&gt;1,"Status inválido",IF(AND(L9&lt;&gt;"",OR(NOT(ISNUMBER(L9)),L9&lt;B9,L9&gt;Listas!$B$18)),"Resposta inválida",IF(AND(O9&lt;&gt;"",OR(NOT(ISNUMBER(O9)),O9&lt;B9,O9&gt;Listas!$B$18)),"Resolução inválida",IF(AND(OR(J9="Fechado",J9="Resolvido"),O9=""),"Conclusão sem resolução",IF(OR(NOT(ISNUMBER(S9)),S9&lt;1,S9&gt;5,IF(ISNUMBER(S9),S9&lt;&gt;INT(S9),FALSE),NOT(ISNUMBER(T9)),T9&lt;1,T9&gt;5,IF(ISNUMBER(T9),T9&lt;&gt;INT(T9),FALSE)),"Impacto ou urgência inválido",""))))))))))))))</x:f>
      </x:c>
      <x:c r="Y9" s="194" t="n">
        <x:f>IF(AND(COUNTA(A9:J9,L9,O9,S9:T9,W9)&gt;0,OR(Listas!$B$20="Todos",I9=Listas!$B$20)),1,0)</x:f>
        <x:v>1</x:v>
      </x:c>
      <x:c r="Z9" s="194" t="n">
        <x:f>IF(AND(Y9=1,X9="",J9&lt;&gt;"Cancelado",NOT(OR(J9="Fechado",J9="Resolvido"))),1,0)</x:f>
        <x:v>0</x:v>
      </x:c>
      <x:c r="AA9" s="194" t="n">
        <x:f>IF(AND(Y9=1,X9="",OR(J9="Fechado",J9="Resolvido")),1,0)</x:f>
        <x:v>1</x:v>
      </x:c>
      <x:c r="AB9" s="194" t="n">
        <x:f>IF(Y9=0,0,IF(X9&lt;&gt;"",1,IF(Z9=0,0,IF(P9="ATRASADO",2,IF(AND(M9="ATRASADO",L9=""),3,IF(V9="ESCALAR",4,IF(V9="REVISAR BACKLOG",5,0)))))))</x:f>
        <x:v>0</x:v>
      </x:c>
      <x:c r="AC9" s="194" t="str">
        <x:f>IF(AB9=0,"",COUNTIFS($AB$5:$AB$204,"&gt;0",$AB$5:$AB$204,"&lt;"&amp;AB9)+COUNTIFS($AB$5:AB9,AB9))</x:f>
      </x:c>
      <x:c r="AD9" s="194" t="n">
        <x:f>IF(AND(A9&lt;&gt;"",X9=""),1,0)</x:f>
        <x:v>1</x:v>
      </x:c>
      <x:c r="AE9" s="194" t="n">
        <x:f>IF(AND(Y9=1,X9&lt;&gt;""),1,0)</x:f>
        <x:v>0</x:v>
      </x:c>
      <x:c r="AF9" s="194" t="n">
        <x:f>IF(L9="",1,0)</x:f>
        <x:v>0</x:v>
      </x:c>
    </x:row>
    <x:row r="10">
      <x:c r="A10" s="28" t="str">
        <x:v>CH-0006</x:v>
      </x:c>
      <x:c r="B10" s="41" t="n">
        <x:v>46283.354166666664</x:v>
      </x:c>
      <x:c r="C10" s="28" t="str">
        <x:v>Carlos Freitas</x:v>
      </x:c>
      <x:c r="D10" s="28" t="str">
        <x:v>Administrativo</x:v>
      </x:c>
      <x:c r="E10" s="28" t="str">
        <x:v>Hardware</x:v>
      </x:c>
      <x:c r="F10" s="28" t="str">
        <x:v>Impressora com falhas recorrentes</x:v>
      </x:c>
      <x:c r="G10" s="28" t="str">
        <x:v>E-mail</x:v>
      </x:c>
      <x:c r="H10" s="28" t="str">
        <x:v>Média</x:v>
      </x:c>
      <x:c r="I10" s="28" t="str">
        <x:v>Bruno Reis</x:v>
      </x:c>
      <x:c r="J10" s="28" t="str">
        <x:v>Em atendimento</x:v>
      </x:c>
      <x:c r="K10" s="54" t="n">
        <x:f>IF(OR(A10="",X10&lt;&gt;""),"",B10+INDEX(Listas!$B$6:$B$9,MATCH(H10,Listas!$A$6:$A$9,0))/24)</x:f>
        <x:v>46283.6875</x:v>
      </x:c>
      <x:c r="L10" s="41" t="n">
        <x:v>46283.645833333336</x:v>
      </x:c>
      <x:c r="M10" s="55" t="str">
        <x:f>IF(A10="","",IF(X10&lt;&gt;"","DADO PENDENTE",IF(J10="Cancelado","N.A.",IF(L10&lt;&gt;"",IF(L10&lt;=K10,"ATENDIDO","ATRASADO"),IF(OR(J10="Fechado",J10="Resolvido"),"SEM EVIDÊNCIA",IF(Listas!$B$18&gt;K10,"ATRASADO","PENDENTE"))))))</x:f>
        <x:v>ATENDIDO</x:v>
      </x:c>
      <x:c r="N10" s="54" t="n">
        <x:f>IF(OR(A10="",X10&lt;&gt;""),"",B10+INDEX(Listas!$C$6:$C$9,MATCH(H10,Listas!$A$6:$A$9,0))/24)</x:f>
        <x:v>46285.02083333333</x:v>
      </x:c>
      <x:c r="O10" s="41"/>
      <x:c r="P10" s="55" t="str">
        <x:f>IF(A10="","",IF(X10&lt;&gt;"","DADO PENDENTE",IF(J10="Cancelado","N.A.",IF(OR(J10="Fechado",J10="Resolvido"),IF(O10&lt;=N10,"ATENDIDO","ATRASADO"),IF(Listas!$B$18&gt;N10,"ATRASADO","PENDENTE")))))</x:f>
        <x:v>ATRASADO</x:v>
      </x:c>
      <x:c r="Q10" s="56" t="n">
        <x:f>IF(OR(A10="",X10&lt;&gt;"",J10="Cancelado"),"",24*IF(OR(J10="Fechado",J10="Resolvido"),O10-B10,Listas!$B$18-B10))</x:f>
        <x:v>201.5000000000582</x:v>
      </x:c>
      <x:c r="R10" s="57" t="n">
        <x:f>IF(OR(A10="",X10&lt;&gt;"",J10="Cancelado"),"",INT(IF(OR(J10="Fechado",J10="Resolvido"),O10-B10,Listas!$B$18-B10)))</x:f>
        <x:v>8</x:v>
      </x:c>
      <x:c r="S10" s="58" t="n">
        <x:v>3</x:v>
      </x:c>
      <x:c r="T10" s="58" t="n">
        <x:v>3</x:v>
      </x:c>
      <x:c r="U10" s="57" t="n">
        <x:f>IF(OR(A10="",X10&lt;&gt;"",J10="Cancelado"),"",S10*T10)</x:f>
        <x:v>9</x:v>
      </x:c>
      <x:c r="V10" s="55" t="str">
        <x:f>IF(A10="","",IF(X10&lt;&gt;"","CORRIGIR DADOS",IF(J10="Cancelado","CANCELADO",IF(OR(J10="Fechado",J10="Resolvido"),"CONCLUÍDO",IF(OR(P10="ATRASADO",U10&gt;=Listas!$B$16),"ESCALAR",IF(AND(M10="ATRASADO",L10=""),"RESPONDER AGORA",IF(R10&gt;=Listas!$B$14,"REVISAR BACKLOG","ACOMPANHAR")))))))</x:f>
        <x:v>ESCALAR</x:v>
      </x:c>
      <x:c r="W10" s="28" t="str">
        <x:v>Aguardando peça</x:v>
      </x:c>
      <x:c r="X10" s="194" t="str">
        <x:f>IF(COUNTA(A10:J10,L10,O10,S10:T10,W10)=0,"",IF(OR(NOT(ISNUMBER(Listas!$B$14)),Listas!$B$14&lt;0,NOT(ISNUMBER(Listas!$B$16)),Listas!$B$16&lt;1,COUNT(Listas!$B$6:$C$9)&lt;&gt;8,MIN(Listas!$B$6:$C$9)&lt;=0),"Parâmetros inválidos",IF(A10="","ID ausente",IF(COUNTIFS($A$5:$A$204,A10)&lt;&gt;1,"ID duplicado",IF(OR(NOT(ISNUMBER(B10)),B10&lt;=0),"Abertura inválida",IF(OR(NOT(ISNUMBER(Listas!$B$18)),Listas!$B$18&lt;=0),"Data da análise inválida",IF(B10&gt;Listas!$B$18,"Abertura após análise",IF(COUNTIFS(Listas!$A$6:$A$9,H10)&lt;&gt;1,"Prioridade inválida",IF(COUNTIFS(Equipe!$A$5:$A$12,I10)&lt;&gt;1,"Responsável inválido",IF(COUNTIFS(Listas!$E$6:$E$11,J10)&lt;&gt;1,"Status inválido",IF(AND(L10&lt;&gt;"",OR(NOT(ISNUMBER(L10)),L10&lt;B10,L10&gt;Listas!$B$18)),"Resposta inválida",IF(AND(O10&lt;&gt;"",OR(NOT(ISNUMBER(O10)),O10&lt;B10,O10&gt;Listas!$B$18)),"Resolução inválida",IF(AND(OR(J10="Fechado",J10="Resolvido"),O10=""),"Conclusão sem resolução",IF(OR(NOT(ISNUMBER(S10)),S10&lt;1,S10&gt;5,IF(ISNUMBER(S10),S10&lt;&gt;INT(S10),FALSE),NOT(ISNUMBER(T10)),T10&lt;1,T10&gt;5,IF(ISNUMBER(T10),T10&lt;&gt;INT(T10),FALSE)),"Impacto ou urgência inválido",""))))))))))))))</x:f>
      </x:c>
      <x:c r="Y10" s="194" t="n">
        <x:f>IF(AND(COUNTA(A10:J10,L10,O10,S10:T10,W10)&gt;0,OR(Listas!$B$20="Todos",I10=Listas!$B$20)),1,0)</x:f>
        <x:v>1</x:v>
      </x:c>
      <x:c r="Z10" s="194" t="n">
        <x:f>IF(AND(Y10=1,X10="",J10&lt;&gt;"Cancelado",NOT(OR(J10="Fechado",J10="Resolvido"))),1,0)</x:f>
        <x:v>1</x:v>
      </x:c>
      <x:c r="AA10" s="194" t="n">
        <x:f>IF(AND(Y10=1,X10="",OR(J10="Fechado",J10="Resolvido")),1,0)</x:f>
        <x:v>0</x:v>
      </x:c>
      <x:c r="AB10" s="194" t="n">
        <x:f>IF(Y10=0,0,IF(X10&lt;&gt;"",1,IF(Z10=0,0,IF(P10="ATRASADO",2,IF(AND(M10="ATRASADO",L10=""),3,IF(V10="ESCALAR",4,IF(V10="REVISAR BACKLOG",5,0)))))))</x:f>
        <x:v>2</x:v>
      </x:c>
      <x:c r="AC10" s="194" t="n">
        <x:f>IF(AB10=0,"",COUNTIFS($AB$5:$AB$204,"&gt;0",$AB$5:$AB$204,"&lt;"&amp;AB10)+COUNTIFS($AB$5:AB10,AB10))</x:f>
        <x:v>2</x:v>
      </x:c>
      <x:c r="AD10" s="194" t="n">
        <x:f>IF(AND(A10&lt;&gt;"",X10=""),1,0)</x:f>
        <x:v>1</x:v>
      </x:c>
      <x:c r="AE10" s="194" t="n">
        <x:f>IF(AND(Y10=1,X10&lt;&gt;""),1,0)</x:f>
        <x:v>0</x:v>
      </x:c>
      <x:c r="AF10" s="194" t="n">
        <x:f>IF(L10="",1,0)</x:f>
        <x:v>0</x:v>
      </x:c>
    </x:row>
    <x:row r="11">
      <x:c r="A11" s="28" t="str">
        <x:v>CH-0007</x:v>
      </x:c>
      <x:c r="B11" s="41" t="n">
        <x:v>46291.666666666664</x:v>
      </x:c>
      <x:c r="C11" s="28" t="str">
        <x:v>Fernanda Luz</x:v>
      </x:c>
      <x:c r="D11" s="28" t="str">
        <x:v>Operações</x:v>
      </x:c>
      <x:c r="E11" s="28" t="str">
        <x:v>Rede</x:v>
      </x:c>
      <x:c r="F11" s="28" t="str">
        <x:v>Coletor sem comunicação</x:v>
      </x:c>
      <x:c r="G11" s="28" t="str">
        <x:v>Portal</x:v>
      </x:c>
      <x:c r="H11" s="28" t="str">
        <x:v>Crítica</x:v>
      </x:c>
      <x:c r="I11" s="28" t="str">
        <x:v>Carla Souza</x:v>
      </x:c>
      <x:c r="J11" s="28" t="str">
        <x:v>Novo</x:v>
      </x:c>
      <x:c r="K11" s="54" t="n">
        <x:f>IF(OR(A11="",X11&lt;&gt;""),"",B11+INDEX(Listas!$B$6:$B$9,MATCH(H11,Listas!$A$6:$A$9,0))/24)</x:f>
        <x:v>46291.70833333333</x:v>
      </x:c>
      <x:c r="L11" s="41"/>
      <x:c r="M11" s="55" t="str">
        <x:f>IF(A11="","",IF(X11&lt;&gt;"","DADO PENDENTE",IF(J11="Cancelado","N.A.",IF(L11&lt;&gt;"",IF(L11&lt;=K11,"ATENDIDO","ATRASADO"),IF(OR(J11="Fechado",J11="Resolvido"),"SEM EVIDÊNCIA",IF(Listas!$B$18&gt;K11,"ATRASADO","PENDENTE"))))))</x:f>
        <x:v>ATRASADO</x:v>
      </x:c>
      <x:c r="N11" s="54" t="n">
        <x:f>IF(OR(A11="",X11&lt;&gt;""),"",B11+INDEX(Listas!$C$6:$C$9,MATCH(H11,Listas!$A$6:$A$9,0))/24)</x:f>
        <x:v>46291.83333333333</x:v>
      </x:c>
      <x:c r="O11" s="41"/>
      <x:c r="P11" s="55" t="str">
        <x:f>IF(A11="","",IF(X11&lt;&gt;"","DADO PENDENTE",IF(J11="Cancelado","N.A.",IF(OR(J11="Fechado",J11="Resolvido"),IF(O11&lt;=N11,"ATENDIDO","ATRASADO"),IF(Listas!$B$18&gt;N11,"ATRASADO","PENDENTE")))))</x:f>
        <x:v>PENDENTE</x:v>
      </x:c>
      <x:c r="Q11" s="56" t="n">
        <x:f>IF(OR(A11="",X11&lt;&gt;"",J11="Cancelado"),"",24*IF(OR(J11="Fechado",J11="Resolvido"),O11-B11,Listas!$B$18-B11))</x:f>
        <x:v>2.0000000000582077</x:v>
      </x:c>
      <x:c r="R11" s="57" t="n">
        <x:f>IF(OR(A11="",X11&lt;&gt;"",J11="Cancelado"),"",INT(IF(OR(J11="Fechado",J11="Resolvido"),O11-B11,Listas!$B$18-B11)))</x:f>
        <x:v>0</x:v>
      </x:c>
      <x:c r="S11" s="58" t="n">
        <x:v>5</x:v>
      </x:c>
      <x:c r="T11" s="58" t="n">
        <x:v>4</x:v>
      </x:c>
      <x:c r="U11" s="57" t="n">
        <x:f>IF(OR(A11="",X11&lt;&gt;"",J11="Cancelado"),"",S11*T11)</x:f>
        <x:v>20</x:v>
      </x:c>
      <x:c r="V11" s="55" t="str">
        <x:f>IF(A11="","",IF(X11&lt;&gt;"","CORRIGIR DADOS",IF(J11="Cancelado","CANCELADO",IF(OR(J11="Fechado",J11="Resolvido"),"CONCLUÍDO",IF(OR(P11="ATRASADO",U11&gt;=Listas!$B$16),"ESCALAR",IF(AND(M11="ATRASADO",L11=""),"RESPONDER AGORA",IF(R11&gt;=Listas!$B$14,"REVISAR BACKLOG","ACOMPANHAR")))))))</x:f>
        <x:v>ESCALAR</x:v>
      </x:c>
      <x:c r="W11" s="28" t="str">
        <x:v>Separação afetada</x:v>
      </x:c>
      <x:c r="X11" s="194" t="str">
        <x:f>IF(COUNTA(A11:J11,L11,O11,S11:T11,W11)=0,"",IF(OR(NOT(ISNUMBER(Listas!$B$14)),Listas!$B$14&lt;0,NOT(ISNUMBER(Listas!$B$16)),Listas!$B$16&lt;1,COUNT(Listas!$B$6:$C$9)&lt;&gt;8,MIN(Listas!$B$6:$C$9)&lt;=0),"Parâmetros inválidos",IF(A11="","ID ausente",IF(COUNTIFS($A$5:$A$204,A11)&lt;&gt;1,"ID duplicado",IF(OR(NOT(ISNUMBER(B11)),B11&lt;=0),"Abertura inválida",IF(OR(NOT(ISNUMBER(Listas!$B$18)),Listas!$B$18&lt;=0),"Data da análise inválida",IF(B11&gt;Listas!$B$18,"Abertura após análise",IF(COUNTIFS(Listas!$A$6:$A$9,H11)&lt;&gt;1,"Prioridade inválida",IF(COUNTIFS(Equipe!$A$5:$A$12,I11)&lt;&gt;1,"Responsável inválido",IF(COUNTIFS(Listas!$E$6:$E$11,J11)&lt;&gt;1,"Status inválido",IF(AND(L11&lt;&gt;"",OR(NOT(ISNUMBER(L11)),L11&lt;B11,L11&gt;Listas!$B$18)),"Resposta inválida",IF(AND(O11&lt;&gt;"",OR(NOT(ISNUMBER(O11)),O11&lt;B11,O11&gt;Listas!$B$18)),"Resolução inválida",IF(AND(OR(J11="Fechado",J11="Resolvido"),O11=""),"Conclusão sem resolução",IF(OR(NOT(ISNUMBER(S11)),S11&lt;1,S11&gt;5,IF(ISNUMBER(S11),S11&lt;&gt;INT(S11),FALSE),NOT(ISNUMBER(T11)),T11&lt;1,T11&gt;5,IF(ISNUMBER(T11),T11&lt;&gt;INT(T11),FALSE)),"Impacto ou urgência inválido",""))))))))))))))</x:f>
      </x:c>
      <x:c r="Y11" s="194" t="n">
        <x:f>IF(AND(COUNTA(A11:J11,L11,O11,S11:T11,W11)&gt;0,OR(Listas!$B$20="Todos",I11=Listas!$B$20)),1,0)</x:f>
        <x:v>1</x:v>
      </x:c>
      <x:c r="Z11" s="194" t="n">
        <x:f>IF(AND(Y11=1,X11="",J11&lt;&gt;"Cancelado",NOT(OR(J11="Fechado",J11="Resolvido"))),1,0)</x:f>
        <x:v>1</x:v>
      </x:c>
      <x:c r="AA11" s="194" t="n">
        <x:f>IF(AND(Y11=1,X11="",OR(J11="Fechado",J11="Resolvido")),1,0)</x:f>
        <x:v>0</x:v>
      </x:c>
      <x:c r="AB11" s="194" t="n">
        <x:f>IF(Y11=0,0,IF(X11&lt;&gt;"",1,IF(Z11=0,0,IF(P11="ATRASADO",2,IF(AND(M11="ATRASADO",L11=""),3,IF(V11="ESCALAR",4,IF(V11="REVISAR BACKLOG",5,0)))))))</x:f>
        <x:v>3</x:v>
      </x:c>
      <x:c r="AC11" s="194" t="n">
        <x:f>IF(AB11=0,"",COUNTIFS($AB$5:$AB$204,"&gt;0",$AB$5:$AB$204,"&lt;"&amp;AB11)+COUNTIFS($AB$5:AB11,AB11))</x:f>
        <x:v>4</x:v>
      </x:c>
      <x:c r="AD11" s="194" t="n">
        <x:f>IF(AND(A11&lt;&gt;"",X11=""),1,0)</x:f>
        <x:v>1</x:v>
      </x:c>
      <x:c r="AE11" s="194" t="n">
        <x:f>IF(AND(Y11=1,X11&lt;&gt;""),1,0)</x:f>
        <x:v>0</x:v>
      </x:c>
      <x:c r="AF11" s="194" t="n">
        <x:f>IF(L11="",1,0)</x:f>
        <x:v>1</x:v>
      </x:c>
    </x:row>
    <x:row r="12">
      <x:c r="A12" s="28" t="str">
        <x:v>CH-0008</x:v>
      </x:c>
      <x:c r="B12" s="41" t="n">
        <x:v>46287.541666666664</x:v>
      </x:c>
      <x:c r="C12" s="28" t="str">
        <x:v>Lucas Melo</x:v>
      </x:c>
      <x:c r="D12" s="28" t="str">
        <x:v>Comercial</x:v>
      </x:c>
      <x:c r="E12" s="28" t="str">
        <x:v>Solicitação</x:v>
      </x:c>
      <x:c r="F12" s="28" t="str">
        <x:v>Criar lista de distribuição</x:v>
      </x:c>
      <x:c r="G12" s="28" t="str">
        <x:v>Portal</x:v>
      </x:c>
      <x:c r="H12" s="28" t="str">
        <x:v>Baixa</x:v>
      </x:c>
      <x:c r="I12" s="28" t="str">
        <x:v>Diego Martins</x:v>
      </x:c>
      <x:c r="J12" s="28" t="str">
        <x:v>Cancelado</x:v>
      </x:c>
      <x:c r="K12" s="54" t="n">
        <x:f>IF(OR(A12="",X12&lt;&gt;""),"",B12+INDEX(Listas!$B$6:$B$9,MATCH(H12,Listas!$A$6:$A$9,0))/24)</x:f>
        <x:v>46288.20833333333</x:v>
      </x:c>
      <x:c r="L12" s="41"/>
      <x:c r="M12" s="55" t="str">
        <x:f>IF(A12="","",IF(X12&lt;&gt;"","DADO PENDENTE",IF(J12="Cancelado","N.A.",IF(L12&lt;&gt;"",IF(L12&lt;=K12,"ATENDIDO","ATRASADO"),IF(OR(J12="Fechado",J12="Resolvido"),"SEM EVIDÊNCIA",IF(Listas!$B$18&gt;K12,"ATRASADO","PENDENTE"))))))</x:f>
        <x:v>N.A.</x:v>
      </x:c>
      <x:c r="N12" s="54" t="n">
        <x:f>IF(OR(A12="",X12&lt;&gt;""),"",B12+INDEX(Listas!$C$6:$C$9,MATCH(H12,Listas!$A$6:$A$9,0))/24)</x:f>
        <x:v>46290.875</x:v>
      </x:c>
      <x:c r="O12" s="41" t="n">
        <x:v>46287.625</x:v>
      </x:c>
      <x:c r="P12" s="55" t="str">
        <x:f>IF(A12="","",IF(X12&lt;&gt;"","DADO PENDENTE",IF(J12="Cancelado","N.A.",IF(OR(J12="Fechado",J12="Resolvido"),IF(O12&lt;=N12,"ATENDIDO","ATRASADO"),IF(Listas!$B$18&gt;N12,"ATRASADO","PENDENTE")))))</x:f>
        <x:v>N.A.</x:v>
      </x:c>
      <x:c r="Q12" s="56" t="str">
        <x:f>IF(OR(A12="",X12&lt;&gt;"",J12="Cancelado"),"",24*IF(OR(J12="Fechado",J12="Resolvido"),O12-B12,Listas!$B$18-B12))</x:f>
      </x:c>
      <x:c r="R12" s="57" t="str">
        <x:f>IF(OR(A12="",X12&lt;&gt;"",J12="Cancelado"),"",INT(IF(OR(J12="Fechado",J12="Resolvido"),O12-B12,Listas!$B$18-B12)))</x:f>
      </x:c>
      <x:c r="S12" s="58" t="n">
        <x:v>1</x:v>
      </x:c>
      <x:c r="T12" s="58" t="n">
        <x:v>1</x:v>
      </x:c>
      <x:c r="U12" s="57" t="str">
        <x:f>IF(OR(A12="",X12&lt;&gt;"",J12="Cancelado"),"",S12*T12)</x:f>
      </x:c>
      <x:c r="V12" s="55" t="str">
        <x:f>IF(A12="","",IF(X12&lt;&gt;"","CORRIGIR DADOS",IF(J12="Cancelado","CANCELADO",IF(OR(J12="Fechado",J12="Resolvido"),"CONCLUÍDO",IF(OR(P12="ATRASADO",U12&gt;=Listas!$B$16),"ESCALAR",IF(AND(M12="ATRASADO",L12=""),"RESPONDER AGORA",IF(R12&gt;=Listas!$B$14,"REVISAR BACKLOG","ACOMPANHAR")))))))</x:f>
        <x:v>CANCELADO</x:v>
      </x:c>
      <x:c r="W12" s="28" t="str">
        <x:v>Solicitação duplicada</x:v>
      </x:c>
      <x:c r="X12" s="194" t="str">
        <x:f>IF(COUNTA(A12:J12,L12,O12,S12:T12,W12)=0,"",IF(OR(NOT(ISNUMBER(Listas!$B$14)),Listas!$B$14&lt;0,NOT(ISNUMBER(Listas!$B$16)),Listas!$B$16&lt;1,COUNT(Listas!$B$6:$C$9)&lt;&gt;8,MIN(Listas!$B$6:$C$9)&lt;=0),"Parâmetros inválidos",IF(A12="","ID ausente",IF(COUNTIFS($A$5:$A$204,A12)&lt;&gt;1,"ID duplicado",IF(OR(NOT(ISNUMBER(B12)),B12&lt;=0),"Abertura inválida",IF(OR(NOT(ISNUMBER(Listas!$B$18)),Listas!$B$18&lt;=0),"Data da análise inválida",IF(B12&gt;Listas!$B$18,"Abertura após análise",IF(COUNTIFS(Listas!$A$6:$A$9,H12)&lt;&gt;1,"Prioridade inválida",IF(COUNTIFS(Equipe!$A$5:$A$12,I12)&lt;&gt;1,"Responsável inválido",IF(COUNTIFS(Listas!$E$6:$E$11,J12)&lt;&gt;1,"Status inválido",IF(AND(L12&lt;&gt;"",OR(NOT(ISNUMBER(L12)),L12&lt;B12,L12&gt;Listas!$B$18)),"Resposta inválida",IF(AND(O12&lt;&gt;"",OR(NOT(ISNUMBER(O12)),O12&lt;B12,O12&gt;Listas!$B$18)),"Resolução inválida",IF(AND(OR(J12="Fechado",J12="Resolvido"),O12=""),"Conclusão sem resolução",IF(OR(NOT(ISNUMBER(S12)),S12&lt;1,S12&gt;5,IF(ISNUMBER(S12),S12&lt;&gt;INT(S12),FALSE),NOT(ISNUMBER(T12)),T12&lt;1,T12&gt;5,IF(ISNUMBER(T12),T12&lt;&gt;INT(T12),FALSE)),"Impacto ou urgência inválido",""))))))))))))))</x:f>
      </x:c>
      <x:c r="Y12" s="194" t="n">
        <x:f>IF(AND(COUNTA(A12:J12,L12,O12,S12:T12,W12)&gt;0,OR(Listas!$B$20="Todos",I12=Listas!$B$20)),1,0)</x:f>
        <x:v>1</x:v>
      </x:c>
      <x:c r="Z12" s="194" t="n">
        <x:f>IF(AND(Y12=1,X12="",J12&lt;&gt;"Cancelado",NOT(OR(J12="Fechado",J12="Resolvido"))),1,0)</x:f>
        <x:v>0</x:v>
      </x:c>
      <x:c r="AA12" s="194" t="n">
        <x:f>IF(AND(Y12=1,X12="",OR(J12="Fechado",J12="Resolvido")),1,0)</x:f>
        <x:v>0</x:v>
      </x:c>
      <x:c r="AB12" s="194" t="n">
        <x:f>IF(Y12=0,0,IF(X12&lt;&gt;"",1,IF(Z12=0,0,IF(P12="ATRASADO",2,IF(AND(M12="ATRASADO",L12=""),3,IF(V12="ESCALAR",4,IF(V12="REVISAR BACKLOG",5,0)))))))</x:f>
        <x:v>0</x:v>
      </x:c>
      <x:c r="AC12" s="194" t="str">
        <x:f>IF(AB12=0,"",COUNTIFS($AB$5:$AB$204,"&gt;0",$AB$5:$AB$204,"&lt;"&amp;AB12)+COUNTIFS($AB$5:AB12,AB12))</x:f>
      </x:c>
      <x:c r="AD12" s="194" t="n">
        <x:f>IF(AND(A12&lt;&gt;"",X12=""),1,0)</x:f>
        <x:v>1</x:v>
      </x:c>
      <x:c r="AE12" s="194" t="n">
        <x:f>IF(AND(Y12=1,X12&lt;&gt;""),1,0)</x:f>
        <x:v>0</x:v>
      </x:c>
      <x:c r="AF12" s="194" t="n">
        <x:f>IF(L12="",1,0)</x:f>
        <x:v>1</x:v>
      </x:c>
    </x:row>
    <x:row r="13">
      <x:c r="A13" s="28"/>
      <x:c r="B13" s="41"/>
      <x:c r="C13" s="28"/>
      <x:c r="D13" s="28"/>
      <x:c r="E13" s="28"/>
      <x:c r="F13" s="28"/>
      <x:c r="G13" s="28"/>
      <x:c r="H13" s="28"/>
      <x:c r="I13" s="28"/>
      <x:c r="J13" s="28"/>
      <x:c r="K13" s="54" t="str">
        <x:f>IF(OR(A13="",X13&lt;&gt;""),"",B13+INDEX(Listas!$B$6:$B$9,MATCH(H13,Listas!$A$6:$A$9,0))/24)</x:f>
      </x:c>
      <x:c r="L13" s="41"/>
      <x:c r="M13" s="55" t="str">
        <x:f>IF(A13="","",IF(X13&lt;&gt;"","DADO PENDENTE",IF(J13="Cancelado","N.A.",IF(L13&lt;&gt;"",IF(L13&lt;=K13,"ATENDIDO","ATRASADO"),IF(OR(J13="Fechado",J13="Resolvido"),"SEM EVIDÊNCIA",IF(Listas!$B$18&gt;K13,"ATRASADO","PENDENTE"))))))</x:f>
      </x:c>
      <x:c r="N13" s="54" t="str">
        <x:f>IF(OR(A13="",X13&lt;&gt;""),"",B13+INDEX(Listas!$C$6:$C$9,MATCH(H13,Listas!$A$6:$A$9,0))/24)</x:f>
      </x:c>
      <x:c r="O13" s="41"/>
      <x:c r="P13" s="55" t="str">
        <x:f>IF(A13="","",IF(X13&lt;&gt;"","DADO PENDENTE",IF(J13="Cancelado","N.A.",IF(OR(J13="Fechado",J13="Resolvido"),IF(O13&lt;=N13,"ATENDIDO","ATRASADO"),IF(Listas!$B$18&gt;N13,"ATRASADO","PENDENTE")))))</x:f>
      </x:c>
      <x:c r="Q13" s="56" t="str">
        <x:f>IF(OR(A13="",X13&lt;&gt;"",J13="Cancelado"),"",24*IF(OR(J13="Fechado",J13="Resolvido"),O13-B13,Listas!$B$18-B13))</x:f>
      </x:c>
      <x:c r="R13" s="57" t="str">
        <x:f>IF(OR(A13="",X13&lt;&gt;"",J13="Cancelado"),"",INT(IF(OR(J13="Fechado",J13="Resolvido"),O13-B13,Listas!$B$18-B13)))</x:f>
      </x:c>
      <x:c r="S13" s="58"/>
      <x:c r="T13" s="58"/>
      <x:c r="U13" s="57" t="str">
        <x:f>IF(OR(A13="",X13&lt;&gt;"",J13="Cancelado"),"",S13*T13)</x:f>
      </x:c>
      <x:c r="V13" s="55" t="str">
        <x:f>IF(A13="","",IF(X13&lt;&gt;"","CORRIGIR DADOS",IF(J13="Cancelado","CANCELADO",IF(OR(J13="Fechado",J13="Resolvido"),"CONCLUÍDO",IF(OR(P13="ATRASADO",U13&gt;=Listas!$B$16),"ESCALAR",IF(AND(M13="ATRASADO",L13=""),"RESPONDER AGORA",IF(R13&gt;=Listas!$B$14,"REVISAR BACKLOG","ACOMPANHAR")))))))</x:f>
      </x:c>
      <x:c r="W13" s="28"/>
      <x:c r="X13" s="194" t="str">
        <x:f>IF(COUNTA(A13:J13,L13,O13,S13:T13,W13)=0,"",IF(OR(NOT(ISNUMBER(Listas!$B$14)),Listas!$B$14&lt;0,NOT(ISNUMBER(Listas!$B$16)),Listas!$B$16&lt;1,COUNT(Listas!$B$6:$C$9)&lt;&gt;8,MIN(Listas!$B$6:$C$9)&lt;=0),"Parâmetros inválidos",IF(A13="","ID ausente",IF(COUNTIFS($A$5:$A$204,A13)&lt;&gt;1,"ID duplicado",IF(OR(NOT(ISNUMBER(B13)),B13&lt;=0),"Abertura inválida",IF(OR(NOT(ISNUMBER(Listas!$B$18)),Listas!$B$18&lt;=0),"Data da análise inválida",IF(B13&gt;Listas!$B$18,"Abertura após análise",IF(COUNTIFS(Listas!$A$6:$A$9,H13)&lt;&gt;1,"Prioridade inválida",IF(COUNTIFS(Equipe!$A$5:$A$12,I13)&lt;&gt;1,"Responsável inválido",IF(COUNTIFS(Listas!$E$6:$E$11,J13)&lt;&gt;1,"Status inválido",IF(AND(L13&lt;&gt;"",OR(NOT(ISNUMBER(L13)),L13&lt;B13,L13&gt;Listas!$B$18)),"Resposta inválida",IF(AND(O13&lt;&gt;"",OR(NOT(ISNUMBER(O13)),O13&lt;B13,O13&gt;Listas!$B$18)),"Resolução inválida",IF(AND(OR(J13="Fechado",J13="Resolvido"),O13=""),"Conclusão sem resolução",IF(OR(NOT(ISNUMBER(S13)),S13&lt;1,S13&gt;5,IF(ISNUMBER(S13),S13&lt;&gt;INT(S13),FALSE),NOT(ISNUMBER(T13)),T13&lt;1,T13&gt;5,IF(ISNUMBER(T13),T13&lt;&gt;INT(T13),FALSE)),"Impacto ou urgência inválido",""))))))))))))))</x:f>
      </x:c>
      <x:c r="Y13" s="194" t="n">
        <x:f>IF(AND(COUNTA(A13:J13,L13,O13,S13:T13,W13)&gt;0,OR(Listas!$B$20="Todos",I13=Listas!$B$20)),1,0)</x:f>
        <x:v>0</x:v>
      </x:c>
      <x:c r="Z13" s="194" t="n">
        <x:f>IF(AND(Y13=1,X13="",J13&lt;&gt;"Cancelado",NOT(OR(J13="Fechado",J13="Resolvido"))),1,0)</x:f>
        <x:v>0</x:v>
      </x:c>
      <x:c r="AA13" s="194" t="n">
        <x:f>IF(AND(Y13=1,X13="",OR(J13="Fechado",J13="Resolvido")),1,0)</x:f>
        <x:v>0</x:v>
      </x:c>
      <x:c r="AB13" s="194" t="n">
        <x:f>IF(Y13=0,0,IF(X13&lt;&gt;"",1,IF(Z13=0,0,IF(P13="ATRASADO",2,IF(AND(M13="ATRASADO",L13=""),3,IF(V13="ESCALAR",4,IF(V13="REVISAR BACKLOG",5,0)))))))</x:f>
        <x:v>0</x:v>
      </x:c>
      <x:c r="AC13" s="194" t="str">
        <x:f>IF(AB13=0,"",COUNTIFS($AB$5:$AB$204,"&gt;0",$AB$5:$AB$204,"&lt;"&amp;AB13)+COUNTIFS($AB$5:AB13,AB13))</x:f>
      </x:c>
      <x:c r="AD13" s="194" t="n">
        <x:f>IF(AND(A13&lt;&gt;"",X13=""),1,0)</x:f>
        <x:v>0</x:v>
      </x:c>
      <x:c r="AE13" s="194" t="n">
        <x:f>IF(AND(Y13=1,X13&lt;&gt;""),1,0)</x:f>
        <x:v>0</x:v>
      </x:c>
      <x:c r="AF13" s="194" t="n">
        <x:f>IF(L13="",1,0)</x:f>
        <x:v>1</x:v>
      </x:c>
    </x:row>
    <x:row r="14">
      <x:c r="A14" s="28"/>
      <x:c r="B14" s="41"/>
      <x:c r="C14" s="28"/>
      <x:c r="D14" s="28"/>
      <x:c r="E14" s="28"/>
      <x:c r="F14" s="28"/>
      <x:c r="G14" s="28"/>
      <x:c r="H14" s="28"/>
      <x:c r="I14" s="28"/>
      <x:c r="J14" s="28"/>
      <x:c r="K14" s="54" t="str">
        <x:f>IF(OR(A14="",X14&lt;&gt;""),"",B14+INDEX(Listas!$B$6:$B$9,MATCH(H14,Listas!$A$6:$A$9,0))/24)</x:f>
      </x:c>
      <x:c r="L14" s="41"/>
      <x:c r="M14" s="55" t="str">
        <x:f>IF(A14="","",IF(X14&lt;&gt;"","DADO PENDENTE",IF(J14="Cancelado","N.A.",IF(L14&lt;&gt;"",IF(L14&lt;=K14,"ATENDIDO","ATRASADO"),IF(OR(J14="Fechado",J14="Resolvido"),"SEM EVIDÊNCIA",IF(Listas!$B$18&gt;K14,"ATRASADO","PENDENTE"))))))</x:f>
      </x:c>
      <x:c r="N14" s="54" t="str">
        <x:f>IF(OR(A14="",X14&lt;&gt;""),"",B14+INDEX(Listas!$C$6:$C$9,MATCH(H14,Listas!$A$6:$A$9,0))/24)</x:f>
      </x:c>
      <x:c r="O14" s="41"/>
      <x:c r="P14" s="55" t="str">
        <x:f>IF(A14="","",IF(X14&lt;&gt;"","DADO PENDENTE",IF(J14="Cancelado","N.A.",IF(OR(J14="Fechado",J14="Resolvido"),IF(O14&lt;=N14,"ATENDIDO","ATRASADO"),IF(Listas!$B$18&gt;N14,"ATRASADO","PENDENTE")))))</x:f>
      </x:c>
      <x:c r="Q14" s="56" t="str">
        <x:f>IF(OR(A14="",X14&lt;&gt;"",J14="Cancelado"),"",24*IF(OR(J14="Fechado",J14="Resolvido"),O14-B14,Listas!$B$18-B14))</x:f>
      </x:c>
      <x:c r="R14" s="57" t="str">
        <x:f>IF(OR(A14="",X14&lt;&gt;"",J14="Cancelado"),"",INT(IF(OR(J14="Fechado",J14="Resolvido"),O14-B14,Listas!$B$18-B14)))</x:f>
      </x:c>
      <x:c r="S14" s="58"/>
      <x:c r="T14" s="58"/>
      <x:c r="U14" s="57" t="str">
        <x:f>IF(OR(A14="",X14&lt;&gt;"",J14="Cancelado"),"",S14*T14)</x:f>
      </x:c>
      <x:c r="V14" s="55" t="str">
        <x:f>IF(A14="","",IF(X14&lt;&gt;"","CORRIGIR DADOS",IF(J14="Cancelado","CANCELADO",IF(OR(J14="Fechado",J14="Resolvido"),"CONCLUÍDO",IF(OR(P14="ATRASADO",U14&gt;=Listas!$B$16),"ESCALAR",IF(AND(M14="ATRASADO",L14=""),"RESPONDER AGORA",IF(R14&gt;=Listas!$B$14,"REVISAR BACKLOG","ACOMPANHAR")))))))</x:f>
      </x:c>
      <x:c r="W14" s="28"/>
      <x:c r="X14" s="194" t="str">
        <x:f>IF(COUNTA(A14:J14,L14,O14,S14:T14,W14)=0,"",IF(OR(NOT(ISNUMBER(Listas!$B$14)),Listas!$B$14&lt;0,NOT(ISNUMBER(Listas!$B$16)),Listas!$B$16&lt;1,COUNT(Listas!$B$6:$C$9)&lt;&gt;8,MIN(Listas!$B$6:$C$9)&lt;=0),"Parâmetros inválidos",IF(A14="","ID ausente",IF(COUNTIFS($A$5:$A$204,A14)&lt;&gt;1,"ID duplicado",IF(OR(NOT(ISNUMBER(B14)),B14&lt;=0),"Abertura inválida",IF(OR(NOT(ISNUMBER(Listas!$B$18)),Listas!$B$18&lt;=0),"Data da análise inválida",IF(B14&gt;Listas!$B$18,"Abertura após análise",IF(COUNTIFS(Listas!$A$6:$A$9,H14)&lt;&gt;1,"Prioridade inválida",IF(COUNTIFS(Equipe!$A$5:$A$12,I14)&lt;&gt;1,"Responsável inválido",IF(COUNTIFS(Listas!$E$6:$E$11,J14)&lt;&gt;1,"Status inválido",IF(AND(L14&lt;&gt;"",OR(NOT(ISNUMBER(L14)),L14&lt;B14,L14&gt;Listas!$B$18)),"Resposta inválida",IF(AND(O14&lt;&gt;"",OR(NOT(ISNUMBER(O14)),O14&lt;B14,O14&gt;Listas!$B$18)),"Resolução inválida",IF(AND(OR(J14="Fechado",J14="Resolvido"),O14=""),"Conclusão sem resolução",IF(OR(NOT(ISNUMBER(S14)),S14&lt;1,S14&gt;5,IF(ISNUMBER(S14),S14&lt;&gt;INT(S14),FALSE),NOT(ISNUMBER(T14)),T14&lt;1,T14&gt;5,IF(ISNUMBER(T14),T14&lt;&gt;INT(T14),FALSE)),"Impacto ou urgência inválido",""))))))))))))))</x:f>
      </x:c>
      <x:c r="Y14" s="194" t="n">
        <x:f>IF(AND(COUNTA(A14:J14,L14,O14,S14:T14,W14)&gt;0,OR(Listas!$B$20="Todos",I14=Listas!$B$20)),1,0)</x:f>
        <x:v>0</x:v>
      </x:c>
      <x:c r="Z14" s="194" t="n">
        <x:f>IF(AND(Y14=1,X14="",J14&lt;&gt;"Cancelado",NOT(OR(J14="Fechado",J14="Resolvido"))),1,0)</x:f>
        <x:v>0</x:v>
      </x:c>
      <x:c r="AA14" s="194" t="n">
        <x:f>IF(AND(Y14=1,X14="",OR(J14="Fechado",J14="Resolvido")),1,0)</x:f>
        <x:v>0</x:v>
      </x:c>
      <x:c r="AB14" s="194" t="n">
        <x:f>IF(Y14=0,0,IF(X14&lt;&gt;"",1,IF(Z14=0,0,IF(P14="ATRASADO",2,IF(AND(M14="ATRASADO",L14=""),3,IF(V14="ESCALAR",4,IF(V14="REVISAR BACKLOG",5,0)))))))</x:f>
        <x:v>0</x:v>
      </x:c>
      <x:c r="AC14" s="194" t="str">
        <x:f>IF(AB14=0,"",COUNTIFS($AB$5:$AB$204,"&gt;0",$AB$5:$AB$204,"&lt;"&amp;AB14)+COUNTIFS($AB$5:AB14,AB14))</x:f>
      </x:c>
      <x:c r="AD14" s="194" t="n">
        <x:f>IF(AND(A14&lt;&gt;"",X14=""),1,0)</x:f>
        <x:v>0</x:v>
      </x:c>
      <x:c r="AE14" s="194" t="n">
        <x:f>IF(AND(Y14=1,X14&lt;&gt;""),1,0)</x:f>
        <x:v>0</x:v>
      </x:c>
      <x:c r="AF14" s="194" t="n">
        <x:f>IF(L14="",1,0)</x:f>
        <x:v>1</x:v>
      </x:c>
    </x:row>
    <x:row r="15">
      <x:c r="A15" s="28"/>
      <x:c r="B15" s="41"/>
      <x:c r="C15" s="28"/>
      <x:c r="D15" s="28"/>
      <x:c r="E15" s="28"/>
      <x:c r="F15" s="28"/>
      <x:c r="G15" s="28"/>
      <x:c r="H15" s="28"/>
      <x:c r="I15" s="28"/>
      <x:c r="J15" s="28"/>
      <x:c r="K15" s="54" t="str">
        <x:f>IF(OR(A15="",X15&lt;&gt;""),"",B15+INDEX(Listas!$B$6:$B$9,MATCH(H15,Listas!$A$6:$A$9,0))/24)</x:f>
      </x:c>
      <x:c r="L15" s="41"/>
      <x:c r="M15" s="55" t="str">
        <x:f>IF(A15="","",IF(X15&lt;&gt;"","DADO PENDENTE",IF(J15="Cancelado","N.A.",IF(L15&lt;&gt;"",IF(L15&lt;=K15,"ATENDIDO","ATRASADO"),IF(OR(J15="Fechado",J15="Resolvido"),"SEM EVIDÊNCIA",IF(Listas!$B$18&gt;K15,"ATRASADO","PENDENTE"))))))</x:f>
      </x:c>
      <x:c r="N15" s="54" t="str">
        <x:f>IF(OR(A15="",X15&lt;&gt;""),"",B15+INDEX(Listas!$C$6:$C$9,MATCH(H15,Listas!$A$6:$A$9,0))/24)</x:f>
      </x:c>
      <x:c r="O15" s="41"/>
      <x:c r="P15" s="55" t="str">
        <x:f>IF(A15="","",IF(X15&lt;&gt;"","DADO PENDENTE",IF(J15="Cancelado","N.A.",IF(OR(J15="Fechado",J15="Resolvido"),IF(O15&lt;=N15,"ATENDIDO","ATRASADO"),IF(Listas!$B$18&gt;N15,"ATRASADO","PENDENTE")))))</x:f>
      </x:c>
      <x:c r="Q15" s="56" t="str">
        <x:f>IF(OR(A15="",X15&lt;&gt;"",J15="Cancelado"),"",24*IF(OR(J15="Fechado",J15="Resolvido"),O15-B15,Listas!$B$18-B15))</x:f>
      </x:c>
      <x:c r="R15" s="57" t="str">
        <x:f>IF(OR(A15="",X15&lt;&gt;"",J15="Cancelado"),"",INT(IF(OR(J15="Fechado",J15="Resolvido"),O15-B15,Listas!$B$18-B15)))</x:f>
      </x:c>
      <x:c r="S15" s="58"/>
      <x:c r="T15" s="58"/>
      <x:c r="U15" s="57" t="str">
        <x:f>IF(OR(A15="",X15&lt;&gt;"",J15="Cancelado"),"",S15*T15)</x:f>
      </x:c>
      <x:c r="V15" s="55" t="str">
        <x:f>IF(A15="","",IF(X15&lt;&gt;"","CORRIGIR DADOS",IF(J15="Cancelado","CANCELADO",IF(OR(J15="Fechado",J15="Resolvido"),"CONCLUÍDO",IF(OR(P15="ATRASADO",U15&gt;=Listas!$B$16),"ESCALAR",IF(AND(M15="ATRASADO",L15=""),"RESPONDER AGORA",IF(R15&gt;=Listas!$B$14,"REVISAR BACKLOG","ACOMPANHAR")))))))</x:f>
      </x:c>
      <x:c r="W15" s="28"/>
      <x:c r="X15" s="194" t="str">
        <x:f>IF(COUNTA(A15:J15,L15,O15,S15:T15,W15)=0,"",IF(OR(NOT(ISNUMBER(Listas!$B$14)),Listas!$B$14&lt;0,NOT(ISNUMBER(Listas!$B$16)),Listas!$B$16&lt;1,COUNT(Listas!$B$6:$C$9)&lt;&gt;8,MIN(Listas!$B$6:$C$9)&lt;=0),"Parâmetros inválidos",IF(A15="","ID ausente",IF(COUNTIFS($A$5:$A$204,A15)&lt;&gt;1,"ID duplicado",IF(OR(NOT(ISNUMBER(B15)),B15&lt;=0),"Abertura inválida",IF(OR(NOT(ISNUMBER(Listas!$B$18)),Listas!$B$18&lt;=0),"Data da análise inválida",IF(B15&gt;Listas!$B$18,"Abertura após análise",IF(COUNTIFS(Listas!$A$6:$A$9,H15)&lt;&gt;1,"Prioridade inválida",IF(COUNTIFS(Equipe!$A$5:$A$12,I15)&lt;&gt;1,"Responsável inválido",IF(COUNTIFS(Listas!$E$6:$E$11,J15)&lt;&gt;1,"Status inválido",IF(AND(L15&lt;&gt;"",OR(NOT(ISNUMBER(L15)),L15&lt;B15,L15&gt;Listas!$B$18)),"Resposta inválida",IF(AND(O15&lt;&gt;"",OR(NOT(ISNUMBER(O15)),O15&lt;B15,O15&gt;Listas!$B$18)),"Resolução inválida",IF(AND(OR(J15="Fechado",J15="Resolvido"),O15=""),"Conclusão sem resolução",IF(OR(NOT(ISNUMBER(S15)),S15&lt;1,S15&gt;5,IF(ISNUMBER(S15),S15&lt;&gt;INT(S15),FALSE),NOT(ISNUMBER(T15)),T15&lt;1,T15&gt;5,IF(ISNUMBER(T15),T15&lt;&gt;INT(T15),FALSE)),"Impacto ou urgência inválido",""))))))))))))))</x:f>
      </x:c>
      <x:c r="Y15" s="194" t="n">
        <x:f>IF(AND(COUNTA(A15:J15,L15,O15,S15:T15,W15)&gt;0,OR(Listas!$B$20="Todos",I15=Listas!$B$20)),1,0)</x:f>
        <x:v>0</x:v>
      </x:c>
      <x:c r="Z15" s="194" t="n">
        <x:f>IF(AND(Y15=1,X15="",J15&lt;&gt;"Cancelado",NOT(OR(J15="Fechado",J15="Resolvido"))),1,0)</x:f>
        <x:v>0</x:v>
      </x:c>
      <x:c r="AA15" s="194" t="n">
        <x:f>IF(AND(Y15=1,X15="",OR(J15="Fechado",J15="Resolvido")),1,0)</x:f>
        <x:v>0</x:v>
      </x:c>
      <x:c r="AB15" s="194" t="n">
        <x:f>IF(Y15=0,0,IF(X15&lt;&gt;"",1,IF(Z15=0,0,IF(P15="ATRASADO",2,IF(AND(M15="ATRASADO",L15=""),3,IF(V15="ESCALAR",4,IF(V15="REVISAR BACKLOG",5,0)))))))</x:f>
        <x:v>0</x:v>
      </x:c>
      <x:c r="AC15" s="194" t="str">
        <x:f>IF(AB15=0,"",COUNTIFS($AB$5:$AB$204,"&gt;0",$AB$5:$AB$204,"&lt;"&amp;AB15)+COUNTIFS($AB$5:AB15,AB15))</x:f>
      </x:c>
      <x:c r="AD15" s="194" t="n">
        <x:f>IF(AND(A15&lt;&gt;"",X15=""),1,0)</x:f>
        <x:v>0</x:v>
      </x:c>
      <x:c r="AE15" s="194" t="n">
        <x:f>IF(AND(Y15=1,X15&lt;&gt;""),1,0)</x:f>
        <x:v>0</x:v>
      </x:c>
      <x:c r="AF15" s="194" t="n">
        <x:f>IF(L15="",1,0)</x:f>
        <x:v>1</x:v>
      </x:c>
    </x:row>
    <x:row r="16">
      <x:c r="A16" s="28"/>
      <x:c r="B16" s="41"/>
      <x:c r="C16" s="28"/>
      <x:c r="D16" s="28"/>
      <x:c r="E16" s="28"/>
      <x:c r="F16" s="28"/>
      <x:c r="G16" s="28"/>
      <x:c r="H16" s="28"/>
      <x:c r="I16" s="28"/>
      <x:c r="J16" s="28"/>
      <x:c r="K16" s="54" t="str">
        <x:f>IF(OR(A16="",X16&lt;&gt;""),"",B16+INDEX(Listas!$B$6:$B$9,MATCH(H16,Listas!$A$6:$A$9,0))/24)</x:f>
      </x:c>
      <x:c r="L16" s="41"/>
      <x:c r="M16" s="55" t="str">
        <x:f>IF(A16="","",IF(X16&lt;&gt;"","DADO PENDENTE",IF(J16="Cancelado","N.A.",IF(L16&lt;&gt;"",IF(L16&lt;=K16,"ATENDIDO","ATRASADO"),IF(OR(J16="Fechado",J16="Resolvido"),"SEM EVIDÊNCIA",IF(Listas!$B$18&gt;K16,"ATRASADO","PENDENTE"))))))</x:f>
      </x:c>
      <x:c r="N16" s="54" t="str">
        <x:f>IF(OR(A16="",X16&lt;&gt;""),"",B16+INDEX(Listas!$C$6:$C$9,MATCH(H16,Listas!$A$6:$A$9,0))/24)</x:f>
      </x:c>
      <x:c r="O16" s="41"/>
      <x:c r="P16" s="55" t="str">
        <x:f>IF(A16="","",IF(X16&lt;&gt;"","DADO PENDENTE",IF(J16="Cancelado","N.A.",IF(OR(J16="Fechado",J16="Resolvido"),IF(O16&lt;=N16,"ATENDIDO","ATRASADO"),IF(Listas!$B$18&gt;N16,"ATRASADO","PENDENTE")))))</x:f>
      </x:c>
      <x:c r="Q16" s="56" t="str">
        <x:f>IF(OR(A16="",X16&lt;&gt;"",J16="Cancelado"),"",24*IF(OR(J16="Fechado",J16="Resolvido"),O16-B16,Listas!$B$18-B16))</x:f>
      </x:c>
      <x:c r="R16" s="57" t="str">
        <x:f>IF(OR(A16="",X16&lt;&gt;"",J16="Cancelado"),"",INT(IF(OR(J16="Fechado",J16="Resolvido"),O16-B16,Listas!$B$18-B16)))</x:f>
      </x:c>
      <x:c r="S16" s="58"/>
      <x:c r="T16" s="58"/>
      <x:c r="U16" s="57" t="str">
        <x:f>IF(OR(A16="",X16&lt;&gt;"",J16="Cancelado"),"",S16*T16)</x:f>
      </x:c>
      <x:c r="V16" s="55" t="str">
        <x:f>IF(A16="","",IF(X16&lt;&gt;"","CORRIGIR DADOS",IF(J16="Cancelado","CANCELADO",IF(OR(J16="Fechado",J16="Resolvido"),"CONCLUÍDO",IF(OR(P16="ATRASADO",U16&gt;=Listas!$B$16),"ESCALAR",IF(AND(M16="ATRASADO",L16=""),"RESPONDER AGORA",IF(R16&gt;=Listas!$B$14,"REVISAR BACKLOG","ACOMPANHAR")))))))</x:f>
      </x:c>
      <x:c r="W16" s="28"/>
      <x:c r="X16" s="194" t="str">
        <x:f>IF(COUNTA(A16:J16,L16,O16,S16:T16,W16)=0,"",IF(OR(NOT(ISNUMBER(Listas!$B$14)),Listas!$B$14&lt;0,NOT(ISNUMBER(Listas!$B$16)),Listas!$B$16&lt;1,COUNT(Listas!$B$6:$C$9)&lt;&gt;8,MIN(Listas!$B$6:$C$9)&lt;=0),"Parâmetros inválidos",IF(A16="","ID ausente",IF(COUNTIFS($A$5:$A$204,A16)&lt;&gt;1,"ID duplicado",IF(OR(NOT(ISNUMBER(B16)),B16&lt;=0),"Abertura inválida",IF(OR(NOT(ISNUMBER(Listas!$B$18)),Listas!$B$18&lt;=0),"Data da análise inválida",IF(B16&gt;Listas!$B$18,"Abertura após análise",IF(COUNTIFS(Listas!$A$6:$A$9,H16)&lt;&gt;1,"Prioridade inválida",IF(COUNTIFS(Equipe!$A$5:$A$12,I16)&lt;&gt;1,"Responsável inválido",IF(COUNTIFS(Listas!$E$6:$E$11,J16)&lt;&gt;1,"Status inválido",IF(AND(L16&lt;&gt;"",OR(NOT(ISNUMBER(L16)),L16&lt;B16,L16&gt;Listas!$B$18)),"Resposta inválida",IF(AND(O16&lt;&gt;"",OR(NOT(ISNUMBER(O16)),O16&lt;B16,O16&gt;Listas!$B$18)),"Resolução inválida",IF(AND(OR(J16="Fechado",J16="Resolvido"),O16=""),"Conclusão sem resolução",IF(OR(NOT(ISNUMBER(S16)),S16&lt;1,S16&gt;5,IF(ISNUMBER(S16),S16&lt;&gt;INT(S16),FALSE),NOT(ISNUMBER(T16)),T16&lt;1,T16&gt;5,IF(ISNUMBER(T16),T16&lt;&gt;INT(T16),FALSE)),"Impacto ou urgência inválido",""))))))))))))))</x:f>
      </x:c>
      <x:c r="Y16" s="194" t="n">
        <x:f>IF(AND(COUNTA(A16:J16,L16,O16,S16:T16,W16)&gt;0,OR(Listas!$B$20="Todos",I16=Listas!$B$20)),1,0)</x:f>
        <x:v>0</x:v>
      </x:c>
      <x:c r="Z16" s="194" t="n">
        <x:f>IF(AND(Y16=1,X16="",J16&lt;&gt;"Cancelado",NOT(OR(J16="Fechado",J16="Resolvido"))),1,0)</x:f>
        <x:v>0</x:v>
      </x:c>
      <x:c r="AA16" s="194" t="n">
        <x:f>IF(AND(Y16=1,X16="",OR(J16="Fechado",J16="Resolvido")),1,0)</x:f>
        <x:v>0</x:v>
      </x:c>
      <x:c r="AB16" s="194" t="n">
        <x:f>IF(Y16=0,0,IF(X16&lt;&gt;"",1,IF(Z16=0,0,IF(P16="ATRASADO",2,IF(AND(M16="ATRASADO",L16=""),3,IF(V16="ESCALAR",4,IF(V16="REVISAR BACKLOG",5,0)))))))</x:f>
        <x:v>0</x:v>
      </x:c>
      <x:c r="AC16" s="194" t="str">
        <x:f>IF(AB16=0,"",COUNTIFS($AB$5:$AB$204,"&gt;0",$AB$5:$AB$204,"&lt;"&amp;AB16)+COUNTIFS($AB$5:AB16,AB16))</x:f>
      </x:c>
      <x:c r="AD16" s="194" t="n">
        <x:f>IF(AND(A16&lt;&gt;"",X16=""),1,0)</x:f>
        <x:v>0</x:v>
      </x:c>
      <x:c r="AE16" s="194" t="n">
        <x:f>IF(AND(Y16=1,X16&lt;&gt;""),1,0)</x:f>
        <x:v>0</x:v>
      </x:c>
      <x:c r="AF16" s="194" t="n">
        <x:f>IF(L16="",1,0)</x:f>
        <x:v>1</x:v>
      </x:c>
    </x:row>
    <x:row r="17">
      <x:c r="A17" s="28"/>
      <x:c r="B17" s="41"/>
      <x:c r="C17" s="28"/>
      <x:c r="D17" s="28"/>
      <x:c r="E17" s="28"/>
      <x:c r="F17" s="28"/>
      <x:c r="G17" s="28"/>
      <x:c r="H17" s="28"/>
      <x:c r="I17" s="28"/>
      <x:c r="J17" s="28"/>
      <x:c r="K17" s="54" t="str">
        <x:f>IF(OR(A17="",X17&lt;&gt;""),"",B17+INDEX(Listas!$B$6:$B$9,MATCH(H17,Listas!$A$6:$A$9,0))/24)</x:f>
      </x:c>
      <x:c r="L17" s="41"/>
      <x:c r="M17" s="55" t="str">
        <x:f>IF(A17="","",IF(X17&lt;&gt;"","DADO PENDENTE",IF(J17="Cancelado","N.A.",IF(L17&lt;&gt;"",IF(L17&lt;=K17,"ATENDIDO","ATRASADO"),IF(OR(J17="Fechado",J17="Resolvido"),"SEM EVIDÊNCIA",IF(Listas!$B$18&gt;K17,"ATRASADO","PENDENTE"))))))</x:f>
      </x:c>
      <x:c r="N17" s="54" t="str">
        <x:f>IF(OR(A17="",X17&lt;&gt;""),"",B17+INDEX(Listas!$C$6:$C$9,MATCH(H17,Listas!$A$6:$A$9,0))/24)</x:f>
      </x:c>
      <x:c r="O17" s="41"/>
      <x:c r="P17" s="55" t="str">
        <x:f>IF(A17="","",IF(X17&lt;&gt;"","DADO PENDENTE",IF(J17="Cancelado","N.A.",IF(OR(J17="Fechado",J17="Resolvido"),IF(O17&lt;=N17,"ATENDIDO","ATRASADO"),IF(Listas!$B$18&gt;N17,"ATRASADO","PENDENTE")))))</x:f>
      </x:c>
      <x:c r="Q17" s="56" t="str">
        <x:f>IF(OR(A17="",X17&lt;&gt;"",J17="Cancelado"),"",24*IF(OR(J17="Fechado",J17="Resolvido"),O17-B17,Listas!$B$18-B17))</x:f>
      </x:c>
      <x:c r="R17" s="57" t="str">
        <x:f>IF(OR(A17="",X17&lt;&gt;"",J17="Cancelado"),"",INT(IF(OR(J17="Fechado",J17="Resolvido"),O17-B17,Listas!$B$18-B17)))</x:f>
      </x:c>
      <x:c r="S17" s="58"/>
      <x:c r="T17" s="58"/>
      <x:c r="U17" s="57" t="str">
        <x:f>IF(OR(A17="",X17&lt;&gt;"",J17="Cancelado"),"",S17*T17)</x:f>
      </x:c>
      <x:c r="V17" s="55" t="str">
        <x:f>IF(A17="","",IF(X17&lt;&gt;"","CORRIGIR DADOS",IF(J17="Cancelado","CANCELADO",IF(OR(J17="Fechado",J17="Resolvido"),"CONCLUÍDO",IF(OR(P17="ATRASADO",U17&gt;=Listas!$B$16),"ESCALAR",IF(AND(M17="ATRASADO",L17=""),"RESPONDER AGORA",IF(R17&gt;=Listas!$B$14,"REVISAR BACKLOG","ACOMPANHAR")))))))</x:f>
      </x:c>
      <x:c r="W17" s="28"/>
      <x:c r="X17" s="194" t="str">
        <x:f>IF(COUNTA(A17:J17,L17,O17,S17:T17,W17)=0,"",IF(OR(NOT(ISNUMBER(Listas!$B$14)),Listas!$B$14&lt;0,NOT(ISNUMBER(Listas!$B$16)),Listas!$B$16&lt;1,COUNT(Listas!$B$6:$C$9)&lt;&gt;8,MIN(Listas!$B$6:$C$9)&lt;=0),"Parâmetros inválidos",IF(A17="","ID ausente",IF(COUNTIFS($A$5:$A$204,A17)&lt;&gt;1,"ID duplicado",IF(OR(NOT(ISNUMBER(B17)),B17&lt;=0),"Abertura inválida",IF(OR(NOT(ISNUMBER(Listas!$B$18)),Listas!$B$18&lt;=0),"Data da análise inválida",IF(B17&gt;Listas!$B$18,"Abertura após análise",IF(COUNTIFS(Listas!$A$6:$A$9,H17)&lt;&gt;1,"Prioridade inválida",IF(COUNTIFS(Equipe!$A$5:$A$12,I17)&lt;&gt;1,"Responsável inválido",IF(COUNTIFS(Listas!$E$6:$E$11,J17)&lt;&gt;1,"Status inválido",IF(AND(L17&lt;&gt;"",OR(NOT(ISNUMBER(L17)),L17&lt;B17,L17&gt;Listas!$B$18)),"Resposta inválida",IF(AND(O17&lt;&gt;"",OR(NOT(ISNUMBER(O17)),O17&lt;B17,O17&gt;Listas!$B$18)),"Resolução inválida",IF(AND(OR(J17="Fechado",J17="Resolvido"),O17=""),"Conclusão sem resolução",IF(OR(NOT(ISNUMBER(S17)),S17&lt;1,S17&gt;5,IF(ISNUMBER(S17),S17&lt;&gt;INT(S17),FALSE),NOT(ISNUMBER(T17)),T17&lt;1,T17&gt;5,IF(ISNUMBER(T17),T17&lt;&gt;INT(T17),FALSE)),"Impacto ou urgência inválido",""))))))))))))))</x:f>
      </x:c>
      <x:c r="Y17" s="194" t="n">
        <x:f>IF(AND(COUNTA(A17:J17,L17,O17,S17:T17,W17)&gt;0,OR(Listas!$B$20="Todos",I17=Listas!$B$20)),1,0)</x:f>
        <x:v>0</x:v>
      </x:c>
      <x:c r="Z17" s="194" t="n">
        <x:f>IF(AND(Y17=1,X17="",J17&lt;&gt;"Cancelado",NOT(OR(J17="Fechado",J17="Resolvido"))),1,0)</x:f>
        <x:v>0</x:v>
      </x:c>
      <x:c r="AA17" s="194" t="n">
        <x:f>IF(AND(Y17=1,X17="",OR(J17="Fechado",J17="Resolvido")),1,0)</x:f>
        <x:v>0</x:v>
      </x:c>
      <x:c r="AB17" s="194" t="n">
        <x:f>IF(Y17=0,0,IF(X17&lt;&gt;"",1,IF(Z17=0,0,IF(P17="ATRASADO",2,IF(AND(M17="ATRASADO",L17=""),3,IF(V17="ESCALAR",4,IF(V17="REVISAR BACKLOG",5,0)))))))</x:f>
        <x:v>0</x:v>
      </x:c>
      <x:c r="AC17" s="194" t="str">
        <x:f>IF(AB17=0,"",COUNTIFS($AB$5:$AB$204,"&gt;0",$AB$5:$AB$204,"&lt;"&amp;AB17)+COUNTIFS($AB$5:AB17,AB17))</x:f>
      </x:c>
      <x:c r="AD17" s="194" t="n">
        <x:f>IF(AND(A17&lt;&gt;"",X17=""),1,0)</x:f>
        <x:v>0</x:v>
      </x:c>
      <x:c r="AE17" s="194" t="n">
        <x:f>IF(AND(Y17=1,X17&lt;&gt;""),1,0)</x:f>
        <x:v>0</x:v>
      </x:c>
      <x:c r="AF17" s="194" t="n">
        <x:f>IF(L17="",1,0)</x:f>
        <x:v>1</x:v>
      </x:c>
    </x:row>
    <x:row r="18">
      <x:c r="A18" s="28"/>
      <x:c r="B18" s="41"/>
      <x:c r="C18" s="28"/>
      <x:c r="D18" s="28"/>
      <x:c r="E18" s="28"/>
      <x:c r="F18" s="28"/>
      <x:c r="G18" s="28"/>
      <x:c r="H18" s="28"/>
      <x:c r="I18" s="28"/>
      <x:c r="J18" s="28"/>
      <x:c r="K18" s="54" t="str">
        <x:f>IF(OR(A18="",X18&lt;&gt;""),"",B18+INDEX(Listas!$B$6:$B$9,MATCH(H18,Listas!$A$6:$A$9,0))/24)</x:f>
      </x:c>
      <x:c r="L18" s="41"/>
      <x:c r="M18" s="55" t="str">
        <x:f>IF(A18="","",IF(X18&lt;&gt;"","DADO PENDENTE",IF(J18="Cancelado","N.A.",IF(L18&lt;&gt;"",IF(L18&lt;=K18,"ATENDIDO","ATRASADO"),IF(OR(J18="Fechado",J18="Resolvido"),"SEM EVIDÊNCIA",IF(Listas!$B$18&gt;K18,"ATRASADO","PENDENTE"))))))</x:f>
      </x:c>
      <x:c r="N18" s="54" t="str">
        <x:f>IF(OR(A18="",X18&lt;&gt;""),"",B18+INDEX(Listas!$C$6:$C$9,MATCH(H18,Listas!$A$6:$A$9,0))/24)</x:f>
      </x:c>
      <x:c r="O18" s="41"/>
      <x:c r="P18" s="55" t="str">
        <x:f>IF(A18="","",IF(X18&lt;&gt;"","DADO PENDENTE",IF(J18="Cancelado","N.A.",IF(OR(J18="Fechado",J18="Resolvido"),IF(O18&lt;=N18,"ATENDIDO","ATRASADO"),IF(Listas!$B$18&gt;N18,"ATRASADO","PENDENTE")))))</x:f>
      </x:c>
      <x:c r="Q18" s="56" t="str">
        <x:f>IF(OR(A18="",X18&lt;&gt;"",J18="Cancelado"),"",24*IF(OR(J18="Fechado",J18="Resolvido"),O18-B18,Listas!$B$18-B18))</x:f>
      </x:c>
      <x:c r="R18" s="57" t="str">
        <x:f>IF(OR(A18="",X18&lt;&gt;"",J18="Cancelado"),"",INT(IF(OR(J18="Fechado",J18="Resolvido"),O18-B18,Listas!$B$18-B18)))</x:f>
      </x:c>
      <x:c r="S18" s="58"/>
      <x:c r="T18" s="58"/>
      <x:c r="U18" s="57" t="str">
        <x:f>IF(OR(A18="",X18&lt;&gt;"",J18="Cancelado"),"",S18*T18)</x:f>
      </x:c>
      <x:c r="V18" s="55" t="str">
        <x:f>IF(A18="","",IF(X18&lt;&gt;"","CORRIGIR DADOS",IF(J18="Cancelado","CANCELADO",IF(OR(J18="Fechado",J18="Resolvido"),"CONCLUÍDO",IF(OR(P18="ATRASADO",U18&gt;=Listas!$B$16),"ESCALAR",IF(AND(M18="ATRASADO",L18=""),"RESPONDER AGORA",IF(R18&gt;=Listas!$B$14,"REVISAR BACKLOG","ACOMPANHAR")))))))</x:f>
      </x:c>
      <x:c r="W18" s="28"/>
      <x:c r="X18" s="194" t="str">
        <x:f>IF(COUNTA(A18:J18,L18,O18,S18:T18,W18)=0,"",IF(OR(NOT(ISNUMBER(Listas!$B$14)),Listas!$B$14&lt;0,NOT(ISNUMBER(Listas!$B$16)),Listas!$B$16&lt;1,COUNT(Listas!$B$6:$C$9)&lt;&gt;8,MIN(Listas!$B$6:$C$9)&lt;=0),"Parâmetros inválidos",IF(A18="","ID ausente",IF(COUNTIFS($A$5:$A$204,A18)&lt;&gt;1,"ID duplicado",IF(OR(NOT(ISNUMBER(B18)),B18&lt;=0),"Abertura inválida",IF(OR(NOT(ISNUMBER(Listas!$B$18)),Listas!$B$18&lt;=0),"Data da análise inválida",IF(B18&gt;Listas!$B$18,"Abertura após análise",IF(COUNTIFS(Listas!$A$6:$A$9,H18)&lt;&gt;1,"Prioridade inválida",IF(COUNTIFS(Equipe!$A$5:$A$12,I18)&lt;&gt;1,"Responsável inválido",IF(COUNTIFS(Listas!$E$6:$E$11,J18)&lt;&gt;1,"Status inválido",IF(AND(L18&lt;&gt;"",OR(NOT(ISNUMBER(L18)),L18&lt;B18,L18&gt;Listas!$B$18)),"Resposta inválida",IF(AND(O18&lt;&gt;"",OR(NOT(ISNUMBER(O18)),O18&lt;B18,O18&gt;Listas!$B$18)),"Resolução inválida",IF(AND(OR(J18="Fechado",J18="Resolvido"),O18=""),"Conclusão sem resolução",IF(OR(NOT(ISNUMBER(S18)),S18&lt;1,S18&gt;5,IF(ISNUMBER(S18),S18&lt;&gt;INT(S18),FALSE),NOT(ISNUMBER(T18)),T18&lt;1,T18&gt;5,IF(ISNUMBER(T18),T18&lt;&gt;INT(T18),FALSE)),"Impacto ou urgência inválido",""))))))))))))))</x:f>
      </x:c>
      <x:c r="Y18" s="194" t="n">
        <x:f>IF(AND(COUNTA(A18:J18,L18,O18,S18:T18,W18)&gt;0,OR(Listas!$B$20="Todos",I18=Listas!$B$20)),1,0)</x:f>
        <x:v>0</x:v>
      </x:c>
      <x:c r="Z18" s="194" t="n">
        <x:f>IF(AND(Y18=1,X18="",J18&lt;&gt;"Cancelado",NOT(OR(J18="Fechado",J18="Resolvido"))),1,0)</x:f>
        <x:v>0</x:v>
      </x:c>
      <x:c r="AA18" s="194" t="n">
        <x:f>IF(AND(Y18=1,X18="",OR(J18="Fechado",J18="Resolvido")),1,0)</x:f>
        <x:v>0</x:v>
      </x:c>
      <x:c r="AB18" s="194" t="n">
        <x:f>IF(Y18=0,0,IF(X18&lt;&gt;"",1,IF(Z18=0,0,IF(P18="ATRASADO",2,IF(AND(M18="ATRASADO",L18=""),3,IF(V18="ESCALAR",4,IF(V18="REVISAR BACKLOG",5,0)))))))</x:f>
        <x:v>0</x:v>
      </x:c>
      <x:c r="AC18" s="194" t="str">
        <x:f>IF(AB18=0,"",COUNTIFS($AB$5:$AB$204,"&gt;0",$AB$5:$AB$204,"&lt;"&amp;AB18)+COUNTIFS($AB$5:AB18,AB18))</x:f>
      </x:c>
      <x:c r="AD18" s="194" t="n">
        <x:f>IF(AND(A18&lt;&gt;"",X18=""),1,0)</x:f>
        <x:v>0</x:v>
      </x:c>
      <x:c r="AE18" s="194" t="n">
        <x:f>IF(AND(Y18=1,X18&lt;&gt;""),1,0)</x:f>
        <x:v>0</x:v>
      </x:c>
      <x:c r="AF18" s="194" t="n">
        <x:f>IF(L18="",1,0)</x:f>
        <x:v>1</x:v>
      </x:c>
    </x:row>
    <x:row r="19">
      <x:c r="A19" s="28"/>
      <x:c r="B19" s="41"/>
      <x:c r="C19" s="28"/>
      <x:c r="D19" s="28"/>
      <x:c r="E19" s="28"/>
      <x:c r="F19" s="28"/>
      <x:c r="G19" s="28"/>
      <x:c r="H19" s="28"/>
      <x:c r="I19" s="28"/>
      <x:c r="J19" s="28"/>
      <x:c r="K19" s="54" t="str">
        <x:f>IF(OR(A19="",X19&lt;&gt;""),"",B19+INDEX(Listas!$B$6:$B$9,MATCH(H19,Listas!$A$6:$A$9,0))/24)</x:f>
      </x:c>
      <x:c r="L19" s="41"/>
      <x:c r="M19" s="55" t="str">
        <x:f>IF(A19="","",IF(X19&lt;&gt;"","DADO PENDENTE",IF(J19="Cancelado","N.A.",IF(L19&lt;&gt;"",IF(L19&lt;=K19,"ATENDIDO","ATRASADO"),IF(OR(J19="Fechado",J19="Resolvido"),"SEM EVIDÊNCIA",IF(Listas!$B$18&gt;K19,"ATRASADO","PENDENTE"))))))</x:f>
      </x:c>
      <x:c r="N19" s="54" t="str">
        <x:f>IF(OR(A19="",X19&lt;&gt;""),"",B19+INDEX(Listas!$C$6:$C$9,MATCH(H19,Listas!$A$6:$A$9,0))/24)</x:f>
      </x:c>
      <x:c r="O19" s="41"/>
      <x:c r="P19" s="55" t="str">
        <x:f>IF(A19="","",IF(X19&lt;&gt;"","DADO PENDENTE",IF(J19="Cancelado","N.A.",IF(OR(J19="Fechado",J19="Resolvido"),IF(O19&lt;=N19,"ATENDIDO","ATRASADO"),IF(Listas!$B$18&gt;N19,"ATRASADO","PENDENTE")))))</x:f>
      </x:c>
      <x:c r="Q19" s="56" t="str">
        <x:f>IF(OR(A19="",X19&lt;&gt;"",J19="Cancelado"),"",24*IF(OR(J19="Fechado",J19="Resolvido"),O19-B19,Listas!$B$18-B19))</x:f>
      </x:c>
      <x:c r="R19" s="57" t="str">
        <x:f>IF(OR(A19="",X19&lt;&gt;"",J19="Cancelado"),"",INT(IF(OR(J19="Fechado",J19="Resolvido"),O19-B19,Listas!$B$18-B19)))</x:f>
      </x:c>
      <x:c r="S19" s="58"/>
      <x:c r="T19" s="58"/>
      <x:c r="U19" s="57" t="str">
        <x:f>IF(OR(A19="",X19&lt;&gt;"",J19="Cancelado"),"",S19*T19)</x:f>
      </x:c>
      <x:c r="V19" s="55" t="str">
        <x:f>IF(A19="","",IF(X19&lt;&gt;"","CORRIGIR DADOS",IF(J19="Cancelado","CANCELADO",IF(OR(J19="Fechado",J19="Resolvido"),"CONCLUÍDO",IF(OR(P19="ATRASADO",U19&gt;=Listas!$B$16),"ESCALAR",IF(AND(M19="ATRASADO",L19=""),"RESPONDER AGORA",IF(R19&gt;=Listas!$B$14,"REVISAR BACKLOG","ACOMPANHAR")))))))</x:f>
      </x:c>
      <x:c r="W19" s="28"/>
      <x:c r="X19" s="194" t="str">
        <x:f>IF(COUNTA(A19:J19,L19,O19,S19:T19,W19)=0,"",IF(OR(NOT(ISNUMBER(Listas!$B$14)),Listas!$B$14&lt;0,NOT(ISNUMBER(Listas!$B$16)),Listas!$B$16&lt;1,COUNT(Listas!$B$6:$C$9)&lt;&gt;8,MIN(Listas!$B$6:$C$9)&lt;=0),"Parâmetros inválidos",IF(A19="","ID ausente",IF(COUNTIFS($A$5:$A$204,A19)&lt;&gt;1,"ID duplicado",IF(OR(NOT(ISNUMBER(B19)),B19&lt;=0),"Abertura inválida",IF(OR(NOT(ISNUMBER(Listas!$B$18)),Listas!$B$18&lt;=0),"Data da análise inválida",IF(B19&gt;Listas!$B$18,"Abertura após análise",IF(COUNTIFS(Listas!$A$6:$A$9,H19)&lt;&gt;1,"Prioridade inválida",IF(COUNTIFS(Equipe!$A$5:$A$12,I19)&lt;&gt;1,"Responsável inválido",IF(COUNTIFS(Listas!$E$6:$E$11,J19)&lt;&gt;1,"Status inválido",IF(AND(L19&lt;&gt;"",OR(NOT(ISNUMBER(L19)),L19&lt;B19,L19&gt;Listas!$B$18)),"Resposta inválida",IF(AND(O19&lt;&gt;"",OR(NOT(ISNUMBER(O19)),O19&lt;B19,O19&gt;Listas!$B$18)),"Resolução inválida",IF(AND(OR(J19="Fechado",J19="Resolvido"),O19=""),"Conclusão sem resolução",IF(OR(NOT(ISNUMBER(S19)),S19&lt;1,S19&gt;5,IF(ISNUMBER(S19),S19&lt;&gt;INT(S19),FALSE),NOT(ISNUMBER(T19)),T19&lt;1,T19&gt;5,IF(ISNUMBER(T19),T19&lt;&gt;INT(T19),FALSE)),"Impacto ou urgência inválido",""))))))))))))))</x:f>
      </x:c>
      <x:c r="Y19" s="194" t="n">
        <x:f>IF(AND(COUNTA(A19:J19,L19,O19,S19:T19,W19)&gt;0,OR(Listas!$B$20="Todos",I19=Listas!$B$20)),1,0)</x:f>
        <x:v>0</x:v>
      </x:c>
      <x:c r="Z19" s="194" t="n">
        <x:f>IF(AND(Y19=1,X19="",J19&lt;&gt;"Cancelado",NOT(OR(J19="Fechado",J19="Resolvido"))),1,0)</x:f>
        <x:v>0</x:v>
      </x:c>
      <x:c r="AA19" s="194" t="n">
        <x:f>IF(AND(Y19=1,X19="",OR(J19="Fechado",J19="Resolvido")),1,0)</x:f>
        <x:v>0</x:v>
      </x:c>
      <x:c r="AB19" s="194" t="n">
        <x:f>IF(Y19=0,0,IF(X19&lt;&gt;"",1,IF(Z19=0,0,IF(P19="ATRASADO",2,IF(AND(M19="ATRASADO",L19=""),3,IF(V19="ESCALAR",4,IF(V19="REVISAR BACKLOG",5,0)))))))</x:f>
        <x:v>0</x:v>
      </x:c>
      <x:c r="AC19" s="194" t="str">
        <x:f>IF(AB19=0,"",COUNTIFS($AB$5:$AB$204,"&gt;0",$AB$5:$AB$204,"&lt;"&amp;AB19)+COUNTIFS($AB$5:AB19,AB19))</x:f>
      </x:c>
      <x:c r="AD19" s="194" t="n">
        <x:f>IF(AND(A19&lt;&gt;"",X19=""),1,0)</x:f>
        <x:v>0</x:v>
      </x:c>
      <x:c r="AE19" s="194" t="n">
        <x:f>IF(AND(Y19=1,X19&lt;&gt;""),1,0)</x:f>
        <x:v>0</x:v>
      </x:c>
      <x:c r="AF19" s="194" t="n">
        <x:f>IF(L19="",1,0)</x:f>
        <x:v>1</x:v>
      </x:c>
    </x:row>
    <x:row r="20">
      <x:c r="A20" s="28"/>
      <x:c r="B20" s="41"/>
      <x:c r="C20" s="28"/>
      <x:c r="D20" s="28"/>
      <x:c r="E20" s="28"/>
      <x:c r="F20" s="28"/>
      <x:c r="G20" s="28"/>
      <x:c r="H20" s="28"/>
      <x:c r="I20" s="28"/>
      <x:c r="J20" s="28"/>
      <x:c r="K20" s="54" t="str">
        <x:f>IF(OR(A20="",X20&lt;&gt;""),"",B20+INDEX(Listas!$B$6:$B$9,MATCH(H20,Listas!$A$6:$A$9,0))/24)</x:f>
      </x:c>
      <x:c r="L20" s="41"/>
      <x:c r="M20" s="55" t="str">
        <x:f>IF(A20="","",IF(X20&lt;&gt;"","DADO PENDENTE",IF(J20="Cancelado","N.A.",IF(L20&lt;&gt;"",IF(L20&lt;=K20,"ATENDIDO","ATRASADO"),IF(OR(J20="Fechado",J20="Resolvido"),"SEM EVIDÊNCIA",IF(Listas!$B$18&gt;K20,"ATRASADO","PENDENTE"))))))</x:f>
      </x:c>
      <x:c r="N20" s="54" t="str">
        <x:f>IF(OR(A20="",X20&lt;&gt;""),"",B20+INDEX(Listas!$C$6:$C$9,MATCH(H20,Listas!$A$6:$A$9,0))/24)</x:f>
      </x:c>
      <x:c r="O20" s="41"/>
      <x:c r="P20" s="55" t="str">
        <x:f>IF(A20="","",IF(X20&lt;&gt;"","DADO PENDENTE",IF(J20="Cancelado","N.A.",IF(OR(J20="Fechado",J20="Resolvido"),IF(O20&lt;=N20,"ATENDIDO","ATRASADO"),IF(Listas!$B$18&gt;N20,"ATRASADO","PENDENTE")))))</x:f>
      </x:c>
      <x:c r="Q20" s="56" t="str">
        <x:f>IF(OR(A20="",X20&lt;&gt;"",J20="Cancelado"),"",24*IF(OR(J20="Fechado",J20="Resolvido"),O20-B20,Listas!$B$18-B20))</x:f>
      </x:c>
      <x:c r="R20" s="57" t="str">
        <x:f>IF(OR(A20="",X20&lt;&gt;"",J20="Cancelado"),"",INT(IF(OR(J20="Fechado",J20="Resolvido"),O20-B20,Listas!$B$18-B20)))</x:f>
      </x:c>
      <x:c r="S20" s="58"/>
      <x:c r="T20" s="58"/>
      <x:c r="U20" s="57" t="str">
        <x:f>IF(OR(A20="",X20&lt;&gt;"",J20="Cancelado"),"",S20*T20)</x:f>
      </x:c>
      <x:c r="V20" s="55" t="str">
        <x:f>IF(A20="","",IF(X20&lt;&gt;"","CORRIGIR DADOS",IF(J20="Cancelado","CANCELADO",IF(OR(J20="Fechado",J20="Resolvido"),"CONCLUÍDO",IF(OR(P20="ATRASADO",U20&gt;=Listas!$B$16),"ESCALAR",IF(AND(M20="ATRASADO",L20=""),"RESPONDER AGORA",IF(R20&gt;=Listas!$B$14,"REVISAR BACKLOG","ACOMPANHAR")))))))</x:f>
      </x:c>
      <x:c r="W20" s="28"/>
      <x:c r="X20" s="194" t="str">
        <x:f>IF(COUNTA(A20:J20,L20,O20,S20:T20,W20)=0,"",IF(OR(NOT(ISNUMBER(Listas!$B$14)),Listas!$B$14&lt;0,NOT(ISNUMBER(Listas!$B$16)),Listas!$B$16&lt;1,COUNT(Listas!$B$6:$C$9)&lt;&gt;8,MIN(Listas!$B$6:$C$9)&lt;=0),"Parâmetros inválidos",IF(A20="","ID ausente",IF(COUNTIFS($A$5:$A$204,A20)&lt;&gt;1,"ID duplicado",IF(OR(NOT(ISNUMBER(B20)),B20&lt;=0),"Abertura inválida",IF(OR(NOT(ISNUMBER(Listas!$B$18)),Listas!$B$18&lt;=0),"Data da análise inválida",IF(B20&gt;Listas!$B$18,"Abertura após análise",IF(COUNTIFS(Listas!$A$6:$A$9,H20)&lt;&gt;1,"Prioridade inválida",IF(COUNTIFS(Equipe!$A$5:$A$12,I20)&lt;&gt;1,"Responsável inválido",IF(COUNTIFS(Listas!$E$6:$E$11,J20)&lt;&gt;1,"Status inválido",IF(AND(L20&lt;&gt;"",OR(NOT(ISNUMBER(L20)),L20&lt;B20,L20&gt;Listas!$B$18)),"Resposta inválida",IF(AND(O20&lt;&gt;"",OR(NOT(ISNUMBER(O20)),O20&lt;B20,O20&gt;Listas!$B$18)),"Resolução inválida",IF(AND(OR(J20="Fechado",J20="Resolvido"),O20=""),"Conclusão sem resolução",IF(OR(NOT(ISNUMBER(S20)),S20&lt;1,S20&gt;5,IF(ISNUMBER(S20),S20&lt;&gt;INT(S20),FALSE),NOT(ISNUMBER(T20)),T20&lt;1,T20&gt;5,IF(ISNUMBER(T20),T20&lt;&gt;INT(T20),FALSE)),"Impacto ou urgência inválido",""))))))))))))))</x:f>
      </x:c>
      <x:c r="Y20" s="194" t="n">
        <x:f>IF(AND(COUNTA(A20:J20,L20,O20,S20:T20,W20)&gt;0,OR(Listas!$B$20="Todos",I20=Listas!$B$20)),1,0)</x:f>
        <x:v>0</x:v>
      </x:c>
      <x:c r="Z20" s="194" t="n">
        <x:f>IF(AND(Y20=1,X20="",J20&lt;&gt;"Cancelado",NOT(OR(J20="Fechado",J20="Resolvido"))),1,0)</x:f>
        <x:v>0</x:v>
      </x:c>
      <x:c r="AA20" s="194" t="n">
        <x:f>IF(AND(Y20=1,X20="",OR(J20="Fechado",J20="Resolvido")),1,0)</x:f>
        <x:v>0</x:v>
      </x:c>
      <x:c r="AB20" s="194" t="n">
        <x:f>IF(Y20=0,0,IF(X20&lt;&gt;"",1,IF(Z20=0,0,IF(P20="ATRASADO",2,IF(AND(M20="ATRASADO",L20=""),3,IF(V20="ESCALAR",4,IF(V20="REVISAR BACKLOG",5,0)))))))</x:f>
        <x:v>0</x:v>
      </x:c>
      <x:c r="AC20" s="194" t="str">
        <x:f>IF(AB20=0,"",COUNTIFS($AB$5:$AB$204,"&gt;0",$AB$5:$AB$204,"&lt;"&amp;AB20)+COUNTIFS($AB$5:AB20,AB20))</x:f>
      </x:c>
      <x:c r="AD20" s="194" t="n">
        <x:f>IF(AND(A20&lt;&gt;"",X20=""),1,0)</x:f>
        <x:v>0</x:v>
      </x:c>
      <x:c r="AE20" s="194" t="n">
        <x:f>IF(AND(Y20=1,X20&lt;&gt;""),1,0)</x:f>
        <x:v>0</x:v>
      </x:c>
      <x:c r="AF20" s="194" t="n">
        <x:f>IF(L20="",1,0)</x:f>
        <x:v>1</x:v>
      </x:c>
    </x:row>
    <x:row r="21">
      <x:c r="A21" s="28"/>
      <x:c r="B21" s="41"/>
      <x:c r="C21" s="28"/>
      <x:c r="D21" s="28"/>
      <x:c r="E21" s="28"/>
      <x:c r="F21" s="28"/>
      <x:c r="G21" s="28"/>
      <x:c r="H21" s="28"/>
      <x:c r="I21" s="28"/>
      <x:c r="J21" s="28"/>
      <x:c r="K21" s="54" t="str">
        <x:f>IF(OR(A21="",X21&lt;&gt;""),"",B21+INDEX(Listas!$B$6:$B$9,MATCH(H21,Listas!$A$6:$A$9,0))/24)</x:f>
      </x:c>
      <x:c r="L21" s="41"/>
      <x:c r="M21" s="55" t="str">
        <x:f>IF(A21="","",IF(X21&lt;&gt;"","DADO PENDENTE",IF(J21="Cancelado","N.A.",IF(L21&lt;&gt;"",IF(L21&lt;=K21,"ATENDIDO","ATRASADO"),IF(OR(J21="Fechado",J21="Resolvido"),"SEM EVIDÊNCIA",IF(Listas!$B$18&gt;K21,"ATRASADO","PENDENTE"))))))</x:f>
      </x:c>
      <x:c r="N21" s="54" t="str">
        <x:f>IF(OR(A21="",X21&lt;&gt;""),"",B21+INDEX(Listas!$C$6:$C$9,MATCH(H21,Listas!$A$6:$A$9,0))/24)</x:f>
      </x:c>
      <x:c r="O21" s="41"/>
      <x:c r="P21" s="55" t="str">
        <x:f>IF(A21="","",IF(X21&lt;&gt;"","DADO PENDENTE",IF(J21="Cancelado","N.A.",IF(OR(J21="Fechado",J21="Resolvido"),IF(O21&lt;=N21,"ATENDIDO","ATRASADO"),IF(Listas!$B$18&gt;N21,"ATRASADO","PENDENTE")))))</x:f>
      </x:c>
      <x:c r="Q21" s="56" t="str">
        <x:f>IF(OR(A21="",X21&lt;&gt;"",J21="Cancelado"),"",24*IF(OR(J21="Fechado",J21="Resolvido"),O21-B21,Listas!$B$18-B21))</x:f>
      </x:c>
      <x:c r="R21" s="57" t="str">
        <x:f>IF(OR(A21="",X21&lt;&gt;"",J21="Cancelado"),"",INT(IF(OR(J21="Fechado",J21="Resolvido"),O21-B21,Listas!$B$18-B21)))</x:f>
      </x:c>
      <x:c r="S21" s="58"/>
      <x:c r="T21" s="58"/>
      <x:c r="U21" s="57" t="str">
        <x:f>IF(OR(A21="",X21&lt;&gt;"",J21="Cancelado"),"",S21*T21)</x:f>
      </x:c>
      <x:c r="V21" s="55" t="str">
        <x:f>IF(A21="","",IF(X21&lt;&gt;"","CORRIGIR DADOS",IF(J21="Cancelado","CANCELADO",IF(OR(J21="Fechado",J21="Resolvido"),"CONCLUÍDO",IF(OR(P21="ATRASADO",U21&gt;=Listas!$B$16),"ESCALAR",IF(AND(M21="ATRASADO",L21=""),"RESPONDER AGORA",IF(R21&gt;=Listas!$B$14,"REVISAR BACKLOG","ACOMPANHAR")))))))</x:f>
      </x:c>
      <x:c r="W21" s="28"/>
      <x:c r="X21" s="194" t="str">
        <x:f>IF(COUNTA(A21:J21,L21,O21,S21:T21,W21)=0,"",IF(OR(NOT(ISNUMBER(Listas!$B$14)),Listas!$B$14&lt;0,NOT(ISNUMBER(Listas!$B$16)),Listas!$B$16&lt;1,COUNT(Listas!$B$6:$C$9)&lt;&gt;8,MIN(Listas!$B$6:$C$9)&lt;=0),"Parâmetros inválidos",IF(A21="","ID ausente",IF(COUNTIFS($A$5:$A$204,A21)&lt;&gt;1,"ID duplicado",IF(OR(NOT(ISNUMBER(B21)),B21&lt;=0),"Abertura inválida",IF(OR(NOT(ISNUMBER(Listas!$B$18)),Listas!$B$18&lt;=0),"Data da análise inválida",IF(B21&gt;Listas!$B$18,"Abertura após análise",IF(COUNTIFS(Listas!$A$6:$A$9,H21)&lt;&gt;1,"Prioridade inválida",IF(COUNTIFS(Equipe!$A$5:$A$12,I21)&lt;&gt;1,"Responsável inválido",IF(COUNTIFS(Listas!$E$6:$E$11,J21)&lt;&gt;1,"Status inválido",IF(AND(L21&lt;&gt;"",OR(NOT(ISNUMBER(L21)),L21&lt;B21,L21&gt;Listas!$B$18)),"Resposta inválida",IF(AND(O21&lt;&gt;"",OR(NOT(ISNUMBER(O21)),O21&lt;B21,O21&gt;Listas!$B$18)),"Resolução inválida",IF(AND(OR(J21="Fechado",J21="Resolvido"),O21=""),"Conclusão sem resolução",IF(OR(NOT(ISNUMBER(S21)),S21&lt;1,S21&gt;5,IF(ISNUMBER(S21),S21&lt;&gt;INT(S21),FALSE),NOT(ISNUMBER(T21)),T21&lt;1,T21&gt;5,IF(ISNUMBER(T21),T21&lt;&gt;INT(T21),FALSE)),"Impacto ou urgência inválido",""))))))))))))))</x:f>
      </x:c>
      <x:c r="Y21" s="194" t="n">
        <x:f>IF(AND(COUNTA(A21:J21,L21,O21,S21:T21,W21)&gt;0,OR(Listas!$B$20="Todos",I21=Listas!$B$20)),1,0)</x:f>
        <x:v>0</x:v>
      </x:c>
      <x:c r="Z21" s="194" t="n">
        <x:f>IF(AND(Y21=1,X21="",J21&lt;&gt;"Cancelado",NOT(OR(J21="Fechado",J21="Resolvido"))),1,0)</x:f>
        <x:v>0</x:v>
      </x:c>
      <x:c r="AA21" s="194" t="n">
        <x:f>IF(AND(Y21=1,X21="",OR(J21="Fechado",J21="Resolvido")),1,0)</x:f>
        <x:v>0</x:v>
      </x:c>
      <x:c r="AB21" s="194" t="n">
        <x:f>IF(Y21=0,0,IF(X21&lt;&gt;"",1,IF(Z21=0,0,IF(P21="ATRASADO",2,IF(AND(M21="ATRASADO",L21=""),3,IF(V21="ESCALAR",4,IF(V21="REVISAR BACKLOG",5,0)))))))</x:f>
        <x:v>0</x:v>
      </x:c>
      <x:c r="AC21" s="194" t="str">
        <x:f>IF(AB21=0,"",COUNTIFS($AB$5:$AB$204,"&gt;0",$AB$5:$AB$204,"&lt;"&amp;AB21)+COUNTIFS($AB$5:AB21,AB21))</x:f>
      </x:c>
      <x:c r="AD21" s="194" t="n">
        <x:f>IF(AND(A21&lt;&gt;"",X21=""),1,0)</x:f>
        <x:v>0</x:v>
      </x:c>
      <x:c r="AE21" s="194" t="n">
        <x:f>IF(AND(Y21=1,X21&lt;&gt;""),1,0)</x:f>
        <x:v>0</x:v>
      </x:c>
      <x:c r="AF21" s="194" t="n">
        <x:f>IF(L21="",1,0)</x:f>
        <x:v>1</x:v>
      </x:c>
    </x:row>
    <x:row r="22">
      <x:c r="A22" s="28"/>
      <x:c r="B22" s="41"/>
      <x:c r="C22" s="28"/>
      <x:c r="D22" s="28"/>
      <x:c r="E22" s="28"/>
      <x:c r="F22" s="28"/>
      <x:c r="G22" s="28"/>
      <x:c r="H22" s="28"/>
      <x:c r="I22" s="28"/>
      <x:c r="J22" s="28"/>
      <x:c r="K22" s="54" t="str">
        <x:f>IF(OR(A22="",X22&lt;&gt;""),"",B22+INDEX(Listas!$B$6:$B$9,MATCH(H22,Listas!$A$6:$A$9,0))/24)</x:f>
      </x:c>
      <x:c r="L22" s="41"/>
      <x:c r="M22" s="55" t="str">
        <x:f>IF(A22="","",IF(X22&lt;&gt;"","DADO PENDENTE",IF(J22="Cancelado","N.A.",IF(L22&lt;&gt;"",IF(L22&lt;=K22,"ATENDIDO","ATRASADO"),IF(OR(J22="Fechado",J22="Resolvido"),"SEM EVIDÊNCIA",IF(Listas!$B$18&gt;K22,"ATRASADO","PENDENTE"))))))</x:f>
      </x:c>
      <x:c r="N22" s="54" t="str">
        <x:f>IF(OR(A22="",X22&lt;&gt;""),"",B22+INDEX(Listas!$C$6:$C$9,MATCH(H22,Listas!$A$6:$A$9,0))/24)</x:f>
      </x:c>
      <x:c r="O22" s="41"/>
      <x:c r="P22" s="55" t="str">
        <x:f>IF(A22="","",IF(X22&lt;&gt;"","DADO PENDENTE",IF(J22="Cancelado","N.A.",IF(OR(J22="Fechado",J22="Resolvido"),IF(O22&lt;=N22,"ATENDIDO","ATRASADO"),IF(Listas!$B$18&gt;N22,"ATRASADO","PENDENTE")))))</x:f>
      </x:c>
      <x:c r="Q22" s="56" t="str">
        <x:f>IF(OR(A22="",X22&lt;&gt;"",J22="Cancelado"),"",24*IF(OR(J22="Fechado",J22="Resolvido"),O22-B22,Listas!$B$18-B22))</x:f>
      </x:c>
      <x:c r="R22" s="57" t="str">
        <x:f>IF(OR(A22="",X22&lt;&gt;"",J22="Cancelado"),"",INT(IF(OR(J22="Fechado",J22="Resolvido"),O22-B22,Listas!$B$18-B22)))</x:f>
      </x:c>
      <x:c r="S22" s="58"/>
      <x:c r="T22" s="58"/>
      <x:c r="U22" s="57" t="str">
        <x:f>IF(OR(A22="",X22&lt;&gt;"",J22="Cancelado"),"",S22*T22)</x:f>
      </x:c>
      <x:c r="V22" s="55" t="str">
        <x:f>IF(A22="","",IF(X22&lt;&gt;"","CORRIGIR DADOS",IF(J22="Cancelado","CANCELADO",IF(OR(J22="Fechado",J22="Resolvido"),"CONCLUÍDO",IF(OR(P22="ATRASADO",U22&gt;=Listas!$B$16),"ESCALAR",IF(AND(M22="ATRASADO",L22=""),"RESPONDER AGORA",IF(R22&gt;=Listas!$B$14,"REVISAR BACKLOG","ACOMPANHAR")))))))</x:f>
      </x:c>
      <x:c r="W22" s="28"/>
      <x:c r="X22" s="194" t="str">
        <x:f>IF(COUNTA(A22:J22,L22,O22,S22:T22,W22)=0,"",IF(OR(NOT(ISNUMBER(Listas!$B$14)),Listas!$B$14&lt;0,NOT(ISNUMBER(Listas!$B$16)),Listas!$B$16&lt;1,COUNT(Listas!$B$6:$C$9)&lt;&gt;8,MIN(Listas!$B$6:$C$9)&lt;=0),"Parâmetros inválidos",IF(A22="","ID ausente",IF(COUNTIFS($A$5:$A$204,A22)&lt;&gt;1,"ID duplicado",IF(OR(NOT(ISNUMBER(B22)),B22&lt;=0),"Abertura inválida",IF(OR(NOT(ISNUMBER(Listas!$B$18)),Listas!$B$18&lt;=0),"Data da análise inválida",IF(B22&gt;Listas!$B$18,"Abertura após análise",IF(COUNTIFS(Listas!$A$6:$A$9,H22)&lt;&gt;1,"Prioridade inválida",IF(COUNTIFS(Equipe!$A$5:$A$12,I22)&lt;&gt;1,"Responsável inválido",IF(COUNTIFS(Listas!$E$6:$E$11,J22)&lt;&gt;1,"Status inválido",IF(AND(L22&lt;&gt;"",OR(NOT(ISNUMBER(L22)),L22&lt;B22,L22&gt;Listas!$B$18)),"Resposta inválida",IF(AND(O22&lt;&gt;"",OR(NOT(ISNUMBER(O22)),O22&lt;B22,O22&gt;Listas!$B$18)),"Resolução inválida",IF(AND(OR(J22="Fechado",J22="Resolvido"),O22=""),"Conclusão sem resolução",IF(OR(NOT(ISNUMBER(S22)),S22&lt;1,S22&gt;5,IF(ISNUMBER(S22),S22&lt;&gt;INT(S22),FALSE),NOT(ISNUMBER(T22)),T22&lt;1,T22&gt;5,IF(ISNUMBER(T22),T22&lt;&gt;INT(T22),FALSE)),"Impacto ou urgência inválido",""))))))))))))))</x:f>
      </x:c>
      <x:c r="Y22" s="194" t="n">
        <x:f>IF(AND(COUNTA(A22:J22,L22,O22,S22:T22,W22)&gt;0,OR(Listas!$B$20="Todos",I22=Listas!$B$20)),1,0)</x:f>
        <x:v>0</x:v>
      </x:c>
      <x:c r="Z22" s="194" t="n">
        <x:f>IF(AND(Y22=1,X22="",J22&lt;&gt;"Cancelado",NOT(OR(J22="Fechado",J22="Resolvido"))),1,0)</x:f>
        <x:v>0</x:v>
      </x:c>
      <x:c r="AA22" s="194" t="n">
        <x:f>IF(AND(Y22=1,X22="",OR(J22="Fechado",J22="Resolvido")),1,0)</x:f>
        <x:v>0</x:v>
      </x:c>
      <x:c r="AB22" s="194" t="n">
        <x:f>IF(Y22=0,0,IF(X22&lt;&gt;"",1,IF(Z22=0,0,IF(P22="ATRASADO",2,IF(AND(M22="ATRASADO",L22=""),3,IF(V22="ESCALAR",4,IF(V22="REVISAR BACKLOG",5,0)))))))</x:f>
        <x:v>0</x:v>
      </x:c>
      <x:c r="AC22" s="194" t="str">
        <x:f>IF(AB22=0,"",COUNTIFS($AB$5:$AB$204,"&gt;0",$AB$5:$AB$204,"&lt;"&amp;AB22)+COUNTIFS($AB$5:AB22,AB22))</x:f>
      </x:c>
      <x:c r="AD22" s="194" t="n">
        <x:f>IF(AND(A22&lt;&gt;"",X22=""),1,0)</x:f>
        <x:v>0</x:v>
      </x:c>
      <x:c r="AE22" s="194" t="n">
        <x:f>IF(AND(Y22=1,X22&lt;&gt;""),1,0)</x:f>
        <x:v>0</x:v>
      </x:c>
      <x:c r="AF22" s="194" t="n">
        <x:f>IF(L22="",1,0)</x:f>
        <x:v>1</x:v>
      </x:c>
    </x:row>
    <x:row r="23">
      <x:c r="A23" s="28"/>
      <x:c r="B23" s="41"/>
      <x:c r="C23" s="28"/>
      <x:c r="D23" s="28"/>
      <x:c r="E23" s="28"/>
      <x:c r="F23" s="28"/>
      <x:c r="G23" s="28"/>
      <x:c r="H23" s="28"/>
      <x:c r="I23" s="28"/>
      <x:c r="J23" s="28"/>
      <x:c r="K23" s="54" t="str">
        <x:f>IF(OR(A23="",X23&lt;&gt;""),"",B23+INDEX(Listas!$B$6:$B$9,MATCH(H23,Listas!$A$6:$A$9,0))/24)</x:f>
      </x:c>
      <x:c r="L23" s="41"/>
      <x:c r="M23" s="55" t="str">
        <x:f>IF(A23="","",IF(X23&lt;&gt;"","DADO PENDENTE",IF(J23="Cancelado","N.A.",IF(L23&lt;&gt;"",IF(L23&lt;=K23,"ATENDIDO","ATRASADO"),IF(OR(J23="Fechado",J23="Resolvido"),"SEM EVIDÊNCIA",IF(Listas!$B$18&gt;K23,"ATRASADO","PENDENTE"))))))</x:f>
      </x:c>
      <x:c r="N23" s="54" t="str">
        <x:f>IF(OR(A23="",X23&lt;&gt;""),"",B23+INDEX(Listas!$C$6:$C$9,MATCH(H23,Listas!$A$6:$A$9,0))/24)</x:f>
      </x:c>
      <x:c r="O23" s="41"/>
      <x:c r="P23" s="55" t="str">
        <x:f>IF(A23="","",IF(X23&lt;&gt;"","DADO PENDENTE",IF(J23="Cancelado","N.A.",IF(OR(J23="Fechado",J23="Resolvido"),IF(O23&lt;=N23,"ATENDIDO","ATRASADO"),IF(Listas!$B$18&gt;N23,"ATRASADO","PENDENTE")))))</x:f>
      </x:c>
      <x:c r="Q23" s="56" t="str">
        <x:f>IF(OR(A23="",X23&lt;&gt;"",J23="Cancelado"),"",24*IF(OR(J23="Fechado",J23="Resolvido"),O23-B23,Listas!$B$18-B23))</x:f>
      </x:c>
      <x:c r="R23" s="57" t="str">
        <x:f>IF(OR(A23="",X23&lt;&gt;"",J23="Cancelado"),"",INT(IF(OR(J23="Fechado",J23="Resolvido"),O23-B23,Listas!$B$18-B23)))</x:f>
      </x:c>
      <x:c r="S23" s="58"/>
      <x:c r="T23" s="58"/>
      <x:c r="U23" s="57" t="str">
        <x:f>IF(OR(A23="",X23&lt;&gt;"",J23="Cancelado"),"",S23*T23)</x:f>
      </x:c>
      <x:c r="V23" s="55" t="str">
        <x:f>IF(A23="","",IF(X23&lt;&gt;"","CORRIGIR DADOS",IF(J23="Cancelado","CANCELADO",IF(OR(J23="Fechado",J23="Resolvido"),"CONCLUÍDO",IF(OR(P23="ATRASADO",U23&gt;=Listas!$B$16),"ESCALAR",IF(AND(M23="ATRASADO",L23=""),"RESPONDER AGORA",IF(R23&gt;=Listas!$B$14,"REVISAR BACKLOG","ACOMPANHAR")))))))</x:f>
      </x:c>
      <x:c r="W23" s="28"/>
      <x:c r="X23" s="194" t="str">
        <x:f>IF(COUNTA(A23:J23,L23,O23,S23:T23,W23)=0,"",IF(OR(NOT(ISNUMBER(Listas!$B$14)),Listas!$B$14&lt;0,NOT(ISNUMBER(Listas!$B$16)),Listas!$B$16&lt;1,COUNT(Listas!$B$6:$C$9)&lt;&gt;8,MIN(Listas!$B$6:$C$9)&lt;=0),"Parâmetros inválidos",IF(A23="","ID ausente",IF(COUNTIFS($A$5:$A$204,A23)&lt;&gt;1,"ID duplicado",IF(OR(NOT(ISNUMBER(B23)),B23&lt;=0),"Abertura inválida",IF(OR(NOT(ISNUMBER(Listas!$B$18)),Listas!$B$18&lt;=0),"Data da análise inválida",IF(B23&gt;Listas!$B$18,"Abertura após análise",IF(COUNTIFS(Listas!$A$6:$A$9,H23)&lt;&gt;1,"Prioridade inválida",IF(COUNTIFS(Equipe!$A$5:$A$12,I23)&lt;&gt;1,"Responsável inválido",IF(COUNTIFS(Listas!$E$6:$E$11,J23)&lt;&gt;1,"Status inválido",IF(AND(L23&lt;&gt;"",OR(NOT(ISNUMBER(L23)),L23&lt;B23,L23&gt;Listas!$B$18)),"Resposta inválida",IF(AND(O23&lt;&gt;"",OR(NOT(ISNUMBER(O23)),O23&lt;B23,O23&gt;Listas!$B$18)),"Resolução inválida",IF(AND(OR(J23="Fechado",J23="Resolvido"),O23=""),"Conclusão sem resolução",IF(OR(NOT(ISNUMBER(S23)),S23&lt;1,S23&gt;5,IF(ISNUMBER(S23),S23&lt;&gt;INT(S23),FALSE),NOT(ISNUMBER(T23)),T23&lt;1,T23&gt;5,IF(ISNUMBER(T23),T23&lt;&gt;INT(T23),FALSE)),"Impacto ou urgência inválido",""))))))))))))))</x:f>
      </x:c>
      <x:c r="Y23" s="194" t="n">
        <x:f>IF(AND(COUNTA(A23:J23,L23,O23,S23:T23,W23)&gt;0,OR(Listas!$B$20="Todos",I23=Listas!$B$20)),1,0)</x:f>
        <x:v>0</x:v>
      </x:c>
      <x:c r="Z23" s="194" t="n">
        <x:f>IF(AND(Y23=1,X23="",J23&lt;&gt;"Cancelado",NOT(OR(J23="Fechado",J23="Resolvido"))),1,0)</x:f>
        <x:v>0</x:v>
      </x:c>
      <x:c r="AA23" s="194" t="n">
        <x:f>IF(AND(Y23=1,X23="",OR(J23="Fechado",J23="Resolvido")),1,0)</x:f>
        <x:v>0</x:v>
      </x:c>
      <x:c r="AB23" s="194" t="n">
        <x:f>IF(Y23=0,0,IF(X23&lt;&gt;"",1,IF(Z23=0,0,IF(P23="ATRASADO",2,IF(AND(M23="ATRASADO",L23=""),3,IF(V23="ESCALAR",4,IF(V23="REVISAR BACKLOG",5,0)))))))</x:f>
        <x:v>0</x:v>
      </x:c>
      <x:c r="AC23" s="194" t="str">
        <x:f>IF(AB23=0,"",COUNTIFS($AB$5:$AB$204,"&gt;0",$AB$5:$AB$204,"&lt;"&amp;AB23)+COUNTIFS($AB$5:AB23,AB23))</x:f>
      </x:c>
      <x:c r="AD23" s="194" t="n">
        <x:f>IF(AND(A23&lt;&gt;"",X23=""),1,0)</x:f>
        <x:v>0</x:v>
      </x:c>
      <x:c r="AE23" s="194" t="n">
        <x:f>IF(AND(Y23=1,X23&lt;&gt;""),1,0)</x:f>
        <x:v>0</x:v>
      </x:c>
      <x:c r="AF23" s="194" t="n">
        <x:f>IF(L23="",1,0)</x:f>
        <x:v>1</x:v>
      </x:c>
    </x:row>
    <x:row r="24">
      <x:c r="A24" s="28"/>
      <x:c r="B24" s="41"/>
      <x:c r="C24" s="28"/>
      <x:c r="D24" s="28"/>
      <x:c r="E24" s="28"/>
      <x:c r="F24" s="28"/>
      <x:c r="G24" s="28"/>
      <x:c r="H24" s="28"/>
      <x:c r="I24" s="28"/>
      <x:c r="J24" s="28"/>
      <x:c r="K24" s="54" t="str">
        <x:f>IF(OR(A24="",X24&lt;&gt;""),"",B24+INDEX(Listas!$B$6:$B$9,MATCH(H24,Listas!$A$6:$A$9,0))/24)</x:f>
      </x:c>
      <x:c r="L24" s="41"/>
      <x:c r="M24" s="55" t="str">
        <x:f>IF(A24="","",IF(X24&lt;&gt;"","DADO PENDENTE",IF(J24="Cancelado","N.A.",IF(L24&lt;&gt;"",IF(L24&lt;=K24,"ATENDIDO","ATRASADO"),IF(OR(J24="Fechado",J24="Resolvido"),"SEM EVIDÊNCIA",IF(Listas!$B$18&gt;K24,"ATRASADO","PENDENTE"))))))</x:f>
      </x:c>
      <x:c r="N24" s="54" t="str">
        <x:f>IF(OR(A24="",X24&lt;&gt;""),"",B24+INDEX(Listas!$C$6:$C$9,MATCH(H24,Listas!$A$6:$A$9,0))/24)</x:f>
      </x:c>
      <x:c r="O24" s="41"/>
      <x:c r="P24" s="55" t="str">
        <x:f>IF(A24="","",IF(X24&lt;&gt;"","DADO PENDENTE",IF(J24="Cancelado","N.A.",IF(OR(J24="Fechado",J24="Resolvido"),IF(O24&lt;=N24,"ATENDIDO","ATRASADO"),IF(Listas!$B$18&gt;N24,"ATRASADO","PENDENTE")))))</x:f>
      </x:c>
      <x:c r="Q24" s="56" t="str">
        <x:f>IF(OR(A24="",X24&lt;&gt;"",J24="Cancelado"),"",24*IF(OR(J24="Fechado",J24="Resolvido"),O24-B24,Listas!$B$18-B24))</x:f>
      </x:c>
      <x:c r="R24" s="57" t="str">
        <x:f>IF(OR(A24="",X24&lt;&gt;"",J24="Cancelado"),"",INT(IF(OR(J24="Fechado",J24="Resolvido"),O24-B24,Listas!$B$18-B24)))</x:f>
      </x:c>
      <x:c r="S24" s="58"/>
      <x:c r="T24" s="58"/>
      <x:c r="U24" s="57" t="str">
        <x:f>IF(OR(A24="",X24&lt;&gt;"",J24="Cancelado"),"",S24*T24)</x:f>
      </x:c>
      <x:c r="V24" s="55" t="str">
        <x:f>IF(A24="","",IF(X24&lt;&gt;"","CORRIGIR DADOS",IF(J24="Cancelado","CANCELADO",IF(OR(J24="Fechado",J24="Resolvido"),"CONCLUÍDO",IF(OR(P24="ATRASADO",U24&gt;=Listas!$B$16),"ESCALAR",IF(AND(M24="ATRASADO",L24=""),"RESPONDER AGORA",IF(R24&gt;=Listas!$B$14,"REVISAR BACKLOG","ACOMPANHAR")))))))</x:f>
      </x:c>
      <x:c r="W24" s="28"/>
      <x:c r="X24" s="194" t="str">
        <x:f>IF(COUNTA(A24:J24,L24,O24,S24:T24,W24)=0,"",IF(OR(NOT(ISNUMBER(Listas!$B$14)),Listas!$B$14&lt;0,NOT(ISNUMBER(Listas!$B$16)),Listas!$B$16&lt;1,COUNT(Listas!$B$6:$C$9)&lt;&gt;8,MIN(Listas!$B$6:$C$9)&lt;=0),"Parâmetros inválidos",IF(A24="","ID ausente",IF(COUNTIFS($A$5:$A$204,A24)&lt;&gt;1,"ID duplicado",IF(OR(NOT(ISNUMBER(B24)),B24&lt;=0),"Abertura inválida",IF(OR(NOT(ISNUMBER(Listas!$B$18)),Listas!$B$18&lt;=0),"Data da análise inválida",IF(B24&gt;Listas!$B$18,"Abertura após análise",IF(COUNTIFS(Listas!$A$6:$A$9,H24)&lt;&gt;1,"Prioridade inválida",IF(COUNTIFS(Equipe!$A$5:$A$12,I24)&lt;&gt;1,"Responsável inválido",IF(COUNTIFS(Listas!$E$6:$E$11,J24)&lt;&gt;1,"Status inválido",IF(AND(L24&lt;&gt;"",OR(NOT(ISNUMBER(L24)),L24&lt;B24,L24&gt;Listas!$B$18)),"Resposta inválida",IF(AND(O24&lt;&gt;"",OR(NOT(ISNUMBER(O24)),O24&lt;B24,O24&gt;Listas!$B$18)),"Resolução inválida",IF(AND(OR(J24="Fechado",J24="Resolvido"),O24=""),"Conclusão sem resolução",IF(OR(NOT(ISNUMBER(S24)),S24&lt;1,S24&gt;5,IF(ISNUMBER(S24),S24&lt;&gt;INT(S24),FALSE),NOT(ISNUMBER(T24)),T24&lt;1,T24&gt;5,IF(ISNUMBER(T24),T24&lt;&gt;INT(T24),FALSE)),"Impacto ou urgência inválido",""))))))))))))))</x:f>
      </x:c>
      <x:c r="Y24" s="194" t="n">
        <x:f>IF(AND(COUNTA(A24:J24,L24,O24,S24:T24,W24)&gt;0,OR(Listas!$B$20="Todos",I24=Listas!$B$20)),1,0)</x:f>
        <x:v>0</x:v>
      </x:c>
      <x:c r="Z24" s="194" t="n">
        <x:f>IF(AND(Y24=1,X24="",J24&lt;&gt;"Cancelado",NOT(OR(J24="Fechado",J24="Resolvido"))),1,0)</x:f>
        <x:v>0</x:v>
      </x:c>
      <x:c r="AA24" s="194" t="n">
        <x:f>IF(AND(Y24=1,X24="",OR(J24="Fechado",J24="Resolvido")),1,0)</x:f>
        <x:v>0</x:v>
      </x:c>
      <x:c r="AB24" s="194" t="n">
        <x:f>IF(Y24=0,0,IF(X24&lt;&gt;"",1,IF(Z24=0,0,IF(P24="ATRASADO",2,IF(AND(M24="ATRASADO",L24=""),3,IF(V24="ESCALAR",4,IF(V24="REVISAR BACKLOG",5,0)))))))</x:f>
        <x:v>0</x:v>
      </x:c>
      <x:c r="AC24" s="194" t="str">
        <x:f>IF(AB24=0,"",COUNTIFS($AB$5:$AB$204,"&gt;0",$AB$5:$AB$204,"&lt;"&amp;AB24)+COUNTIFS($AB$5:AB24,AB24))</x:f>
      </x:c>
      <x:c r="AD24" s="194" t="n">
        <x:f>IF(AND(A24&lt;&gt;"",X24=""),1,0)</x:f>
        <x:v>0</x:v>
      </x:c>
      <x:c r="AE24" s="194" t="n">
        <x:f>IF(AND(Y24=1,X24&lt;&gt;""),1,0)</x:f>
        <x:v>0</x:v>
      </x:c>
      <x:c r="AF24" s="194" t="n">
        <x:f>IF(L24="",1,0)</x:f>
        <x:v>1</x:v>
      </x:c>
    </x:row>
    <x:row r="25">
      <x:c r="A25" s="28"/>
      <x:c r="B25" s="41"/>
      <x:c r="C25" s="28"/>
      <x:c r="D25" s="28"/>
      <x:c r="E25" s="28"/>
      <x:c r="F25" s="28"/>
      <x:c r="G25" s="28"/>
      <x:c r="H25" s="28"/>
      <x:c r="I25" s="28"/>
      <x:c r="J25" s="28"/>
      <x:c r="K25" s="54" t="str">
        <x:f>IF(OR(A25="",X25&lt;&gt;""),"",B25+INDEX(Listas!$B$6:$B$9,MATCH(H25,Listas!$A$6:$A$9,0))/24)</x:f>
      </x:c>
      <x:c r="L25" s="41"/>
      <x:c r="M25" s="55" t="str">
        <x:f>IF(A25="","",IF(X25&lt;&gt;"","DADO PENDENTE",IF(J25="Cancelado","N.A.",IF(L25&lt;&gt;"",IF(L25&lt;=K25,"ATENDIDO","ATRASADO"),IF(OR(J25="Fechado",J25="Resolvido"),"SEM EVIDÊNCIA",IF(Listas!$B$18&gt;K25,"ATRASADO","PENDENTE"))))))</x:f>
      </x:c>
      <x:c r="N25" s="54" t="str">
        <x:f>IF(OR(A25="",X25&lt;&gt;""),"",B25+INDEX(Listas!$C$6:$C$9,MATCH(H25,Listas!$A$6:$A$9,0))/24)</x:f>
      </x:c>
      <x:c r="O25" s="41"/>
      <x:c r="P25" s="55" t="str">
        <x:f>IF(A25="","",IF(X25&lt;&gt;"","DADO PENDENTE",IF(J25="Cancelado","N.A.",IF(OR(J25="Fechado",J25="Resolvido"),IF(O25&lt;=N25,"ATENDIDO","ATRASADO"),IF(Listas!$B$18&gt;N25,"ATRASADO","PENDENTE")))))</x:f>
      </x:c>
      <x:c r="Q25" s="56" t="str">
        <x:f>IF(OR(A25="",X25&lt;&gt;"",J25="Cancelado"),"",24*IF(OR(J25="Fechado",J25="Resolvido"),O25-B25,Listas!$B$18-B25))</x:f>
      </x:c>
      <x:c r="R25" s="57" t="str">
        <x:f>IF(OR(A25="",X25&lt;&gt;"",J25="Cancelado"),"",INT(IF(OR(J25="Fechado",J25="Resolvido"),O25-B25,Listas!$B$18-B25)))</x:f>
      </x:c>
      <x:c r="S25" s="58"/>
      <x:c r="T25" s="58"/>
      <x:c r="U25" s="57" t="str">
        <x:f>IF(OR(A25="",X25&lt;&gt;"",J25="Cancelado"),"",S25*T25)</x:f>
      </x:c>
      <x:c r="V25" s="55" t="str">
        <x:f>IF(A25="","",IF(X25&lt;&gt;"","CORRIGIR DADOS",IF(J25="Cancelado","CANCELADO",IF(OR(J25="Fechado",J25="Resolvido"),"CONCLUÍDO",IF(OR(P25="ATRASADO",U25&gt;=Listas!$B$16),"ESCALAR",IF(AND(M25="ATRASADO",L25=""),"RESPONDER AGORA",IF(R25&gt;=Listas!$B$14,"REVISAR BACKLOG","ACOMPANHAR")))))))</x:f>
      </x:c>
      <x:c r="W25" s="28"/>
      <x:c r="X25" s="194" t="str">
        <x:f>IF(COUNTA(A25:J25,L25,O25,S25:T25,W25)=0,"",IF(OR(NOT(ISNUMBER(Listas!$B$14)),Listas!$B$14&lt;0,NOT(ISNUMBER(Listas!$B$16)),Listas!$B$16&lt;1,COUNT(Listas!$B$6:$C$9)&lt;&gt;8,MIN(Listas!$B$6:$C$9)&lt;=0),"Parâmetros inválidos",IF(A25="","ID ausente",IF(COUNTIFS($A$5:$A$204,A25)&lt;&gt;1,"ID duplicado",IF(OR(NOT(ISNUMBER(B25)),B25&lt;=0),"Abertura inválida",IF(OR(NOT(ISNUMBER(Listas!$B$18)),Listas!$B$18&lt;=0),"Data da análise inválida",IF(B25&gt;Listas!$B$18,"Abertura após análise",IF(COUNTIFS(Listas!$A$6:$A$9,H25)&lt;&gt;1,"Prioridade inválida",IF(COUNTIFS(Equipe!$A$5:$A$12,I25)&lt;&gt;1,"Responsável inválido",IF(COUNTIFS(Listas!$E$6:$E$11,J25)&lt;&gt;1,"Status inválido",IF(AND(L25&lt;&gt;"",OR(NOT(ISNUMBER(L25)),L25&lt;B25,L25&gt;Listas!$B$18)),"Resposta inválida",IF(AND(O25&lt;&gt;"",OR(NOT(ISNUMBER(O25)),O25&lt;B25,O25&gt;Listas!$B$18)),"Resolução inválida",IF(AND(OR(J25="Fechado",J25="Resolvido"),O25=""),"Conclusão sem resolução",IF(OR(NOT(ISNUMBER(S25)),S25&lt;1,S25&gt;5,IF(ISNUMBER(S25),S25&lt;&gt;INT(S25),FALSE),NOT(ISNUMBER(T25)),T25&lt;1,T25&gt;5,IF(ISNUMBER(T25),T25&lt;&gt;INT(T25),FALSE)),"Impacto ou urgência inválido",""))))))))))))))</x:f>
      </x:c>
      <x:c r="Y25" s="194" t="n">
        <x:f>IF(AND(COUNTA(A25:J25,L25,O25,S25:T25,W25)&gt;0,OR(Listas!$B$20="Todos",I25=Listas!$B$20)),1,0)</x:f>
        <x:v>0</x:v>
      </x:c>
      <x:c r="Z25" s="194" t="n">
        <x:f>IF(AND(Y25=1,X25="",J25&lt;&gt;"Cancelado",NOT(OR(J25="Fechado",J25="Resolvido"))),1,0)</x:f>
        <x:v>0</x:v>
      </x:c>
      <x:c r="AA25" s="194" t="n">
        <x:f>IF(AND(Y25=1,X25="",OR(J25="Fechado",J25="Resolvido")),1,0)</x:f>
        <x:v>0</x:v>
      </x:c>
      <x:c r="AB25" s="194" t="n">
        <x:f>IF(Y25=0,0,IF(X25&lt;&gt;"",1,IF(Z25=0,0,IF(P25="ATRASADO",2,IF(AND(M25="ATRASADO",L25=""),3,IF(V25="ESCALAR",4,IF(V25="REVISAR BACKLOG",5,0)))))))</x:f>
        <x:v>0</x:v>
      </x:c>
      <x:c r="AC25" s="194" t="str">
        <x:f>IF(AB25=0,"",COUNTIFS($AB$5:$AB$204,"&gt;0",$AB$5:$AB$204,"&lt;"&amp;AB25)+COUNTIFS($AB$5:AB25,AB25))</x:f>
      </x:c>
      <x:c r="AD25" s="194" t="n">
        <x:f>IF(AND(A25&lt;&gt;"",X25=""),1,0)</x:f>
        <x:v>0</x:v>
      </x:c>
      <x:c r="AE25" s="194" t="n">
        <x:f>IF(AND(Y25=1,X25&lt;&gt;""),1,0)</x:f>
        <x:v>0</x:v>
      </x:c>
      <x:c r="AF25" s="194" t="n">
        <x:f>IF(L25="",1,0)</x:f>
        <x:v>1</x:v>
      </x:c>
    </x:row>
    <x:row r="26">
      <x:c r="A26" s="28"/>
      <x:c r="B26" s="41"/>
      <x:c r="C26" s="28"/>
      <x:c r="D26" s="28"/>
      <x:c r="E26" s="28"/>
      <x:c r="F26" s="28"/>
      <x:c r="G26" s="28"/>
      <x:c r="H26" s="28"/>
      <x:c r="I26" s="28"/>
      <x:c r="J26" s="28"/>
      <x:c r="K26" s="54" t="str">
        <x:f>IF(OR(A26="",X26&lt;&gt;""),"",B26+INDEX(Listas!$B$6:$B$9,MATCH(H26,Listas!$A$6:$A$9,0))/24)</x:f>
      </x:c>
      <x:c r="L26" s="41"/>
      <x:c r="M26" s="55" t="str">
        <x:f>IF(A26="","",IF(X26&lt;&gt;"","DADO PENDENTE",IF(J26="Cancelado","N.A.",IF(L26&lt;&gt;"",IF(L26&lt;=K26,"ATENDIDO","ATRASADO"),IF(OR(J26="Fechado",J26="Resolvido"),"SEM EVIDÊNCIA",IF(Listas!$B$18&gt;K26,"ATRASADO","PENDENTE"))))))</x:f>
      </x:c>
      <x:c r="N26" s="54" t="str">
        <x:f>IF(OR(A26="",X26&lt;&gt;""),"",B26+INDEX(Listas!$C$6:$C$9,MATCH(H26,Listas!$A$6:$A$9,0))/24)</x:f>
      </x:c>
      <x:c r="O26" s="41"/>
      <x:c r="P26" s="55" t="str">
        <x:f>IF(A26="","",IF(X26&lt;&gt;"","DADO PENDENTE",IF(J26="Cancelado","N.A.",IF(OR(J26="Fechado",J26="Resolvido"),IF(O26&lt;=N26,"ATENDIDO","ATRASADO"),IF(Listas!$B$18&gt;N26,"ATRASADO","PENDENTE")))))</x:f>
      </x:c>
      <x:c r="Q26" s="56" t="str">
        <x:f>IF(OR(A26="",X26&lt;&gt;"",J26="Cancelado"),"",24*IF(OR(J26="Fechado",J26="Resolvido"),O26-B26,Listas!$B$18-B26))</x:f>
      </x:c>
      <x:c r="R26" s="57" t="str">
        <x:f>IF(OR(A26="",X26&lt;&gt;"",J26="Cancelado"),"",INT(IF(OR(J26="Fechado",J26="Resolvido"),O26-B26,Listas!$B$18-B26)))</x:f>
      </x:c>
      <x:c r="S26" s="58"/>
      <x:c r="T26" s="58"/>
      <x:c r="U26" s="57" t="str">
        <x:f>IF(OR(A26="",X26&lt;&gt;"",J26="Cancelado"),"",S26*T26)</x:f>
      </x:c>
      <x:c r="V26" s="55" t="str">
        <x:f>IF(A26="","",IF(X26&lt;&gt;"","CORRIGIR DADOS",IF(J26="Cancelado","CANCELADO",IF(OR(J26="Fechado",J26="Resolvido"),"CONCLUÍDO",IF(OR(P26="ATRASADO",U26&gt;=Listas!$B$16),"ESCALAR",IF(AND(M26="ATRASADO",L26=""),"RESPONDER AGORA",IF(R26&gt;=Listas!$B$14,"REVISAR BACKLOG","ACOMPANHAR")))))))</x:f>
      </x:c>
      <x:c r="W26" s="28"/>
      <x:c r="X26" s="194" t="str">
        <x:f>IF(COUNTA(A26:J26,L26,O26,S26:T26,W26)=0,"",IF(OR(NOT(ISNUMBER(Listas!$B$14)),Listas!$B$14&lt;0,NOT(ISNUMBER(Listas!$B$16)),Listas!$B$16&lt;1,COUNT(Listas!$B$6:$C$9)&lt;&gt;8,MIN(Listas!$B$6:$C$9)&lt;=0),"Parâmetros inválidos",IF(A26="","ID ausente",IF(COUNTIFS($A$5:$A$204,A26)&lt;&gt;1,"ID duplicado",IF(OR(NOT(ISNUMBER(B26)),B26&lt;=0),"Abertura inválida",IF(OR(NOT(ISNUMBER(Listas!$B$18)),Listas!$B$18&lt;=0),"Data da análise inválida",IF(B26&gt;Listas!$B$18,"Abertura após análise",IF(COUNTIFS(Listas!$A$6:$A$9,H26)&lt;&gt;1,"Prioridade inválida",IF(COUNTIFS(Equipe!$A$5:$A$12,I26)&lt;&gt;1,"Responsável inválido",IF(COUNTIFS(Listas!$E$6:$E$11,J26)&lt;&gt;1,"Status inválido",IF(AND(L26&lt;&gt;"",OR(NOT(ISNUMBER(L26)),L26&lt;B26,L26&gt;Listas!$B$18)),"Resposta inválida",IF(AND(O26&lt;&gt;"",OR(NOT(ISNUMBER(O26)),O26&lt;B26,O26&gt;Listas!$B$18)),"Resolução inválida",IF(AND(OR(J26="Fechado",J26="Resolvido"),O26=""),"Conclusão sem resolução",IF(OR(NOT(ISNUMBER(S26)),S26&lt;1,S26&gt;5,IF(ISNUMBER(S26),S26&lt;&gt;INT(S26),FALSE),NOT(ISNUMBER(T26)),T26&lt;1,T26&gt;5,IF(ISNUMBER(T26),T26&lt;&gt;INT(T26),FALSE)),"Impacto ou urgência inválido",""))))))))))))))</x:f>
      </x:c>
      <x:c r="Y26" s="194" t="n">
        <x:f>IF(AND(COUNTA(A26:J26,L26,O26,S26:T26,W26)&gt;0,OR(Listas!$B$20="Todos",I26=Listas!$B$20)),1,0)</x:f>
        <x:v>0</x:v>
      </x:c>
      <x:c r="Z26" s="194" t="n">
        <x:f>IF(AND(Y26=1,X26="",J26&lt;&gt;"Cancelado",NOT(OR(J26="Fechado",J26="Resolvido"))),1,0)</x:f>
        <x:v>0</x:v>
      </x:c>
      <x:c r="AA26" s="194" t="n">
        <x:f>IF(AND(Y26=1,X26="",OR(J26="Fechado",J26="Resolvido")),1,0)</x:f>
        <x:v>0</x:v>
      </x:c>
      <x:c r="AB26" s="194" t="n">
        <x:f>IF(Y26=0,0,IF(X26&lt;&gt;"",1,IF(Z26=0,0,IF(P26="ATRASADO",2,IF(AND(M26="ATRASADO",L26=""),3,IF(V26="ESCALAR",4,IF(V26="REVISAR BACKLOG",5,0)))))))</x:f>
        <x:v>0</x:v>
      </x:c>
      <x:c r="AC26" s="194" t="str">
        <x:f>IF(AB26=0,"",COUNTIFS($AB$5:$AB$204,"&gt;0",$AB$5:$AB$204,"&lt;"&amp;AB26)+COUNTIFS($AB$5:AB26,AB26))</x:f>
      </x:c>
      <x:c r="AD26" s="194" t="n">
        <x:f>IF(AND(A26&lt;&gt;"",X26=""),1,0)</x:f>
        <x:v>0</x:v>
      </x:c>
      <x:c r="AE26" s="194" t="n">
        <x:f>IF(AND(Y26=1,X26&lt;&gt;""),1,0)</x:f>
        <x:v>0</x:v>
      </x:c>
      <x:c r="AF26" s="194" t="n">
        <x:f>IF(L26="",1,0)</x:f>
        <x:v>1</x:v>
      </x:c>
    </x:row>
    <x:row r="27">
      <x:c r="A27" s="28"/>
      <x:c r="B27" s="41"/>
      <x:c r="C27" s="28"/>
      <x:c r="D27" s="28"/>
      <x:c r="E27" s="28"/>
      <x:c r="F27" s="28"/>
      <x:c r="G27" s="28"/>
      <x:c r="H27" s="28"/>
      <x:c r="I27" s="28"/>
      <x:c r="J27" s="28"/>
      <x:c r="K27" s="54" t="str">
        <x:f>IF(OR(A27="",X27&lt;&gt;""),"",B27+INDEX(Listas!$B$6:$B$9,MATCH(H27,Listas!$A$6:$A$9,0))/24)</x:f>
      </x:c>
      <x:c r="L27" s="41"/>
      <x:c r="M27" s="55" t="str">
        <x:f>IF(A27="","",IF(X27&lt;&gt;"","DADO PENDENTE",IF(J27="Cancelado","N.A.",IF(L27&lt;&gt;"",IF(L27&lt;=K27,"ATENDIDO","ATRASADO"),IF(OR(J27="Fechado",J27="Resolvido"),"SEM EVIDÊNCIA",IF(Listas!$B$18&gt;K27,"ATRASADO","PENDENTE"))))))</x:f>
      </x:c>
      <x:c r="N27" s="54" t="str">
        <x:f>IF(OR(A27="",X27&lt;&gt;""),"",B27+INDEX(Listas!$C$6:$C$9,MATCH(H27,Listas!$A$6:$A$9,0))/24)</x:f>
      </x:c>
      <x:c r="O27" s="41"/>
      <x:c r="P27" s="55" t="str">
        <x:f>IF(A27="","",IF(X27&lt;&gt;"","DADO PENDENTE",IF(J27="Cancelado","N.A.",IF(OR(J27="Fechado",J27="Resolvido"),IF(O27&lt;=N27,"ATENDIDO","ATRASADO"),IF(Listas!$B$18&gt;N27,"ATRASADO","PENDENTE")))))</x:f>
      </x:c>
      <x:c r="Q27" s="56" t="str">
        <x:f>IF(OR(A27="",X27&lt;&gt;"",J27="Cancelado"),"",24*IF(OR(J27="Fechado",J27="Resolvido"),O27-B27,Listas!$B$18-B27))</x:f>
      </x:c>
      <x:c r="R27" s="57" t="str">
        <x:f>IF(OR(A27="",X27&lt;&gt;"",J27="Cancelado"),"",INT(IF(OR(J27="Fechado",J27="Resolvido"),O27-B27,Listas!$B$18-B27)))</x:f>
      </x:c>
      <x:c r="S27" s="58"/>
      <x:c r="T27" s="58"/>
      <x:c r="U27" s="57" t="str">
        <x:f>IF(OR(A27="",X27&lt;&gt;"",J27="Cancelado"),"",S27*T27)</x:f>
      </x:c>
      <x:c r="V27" s="55" t="str">
        <x:f>IF(A27="","",IF(X27&lt;&gt;"","CORRIGIR DADOS",IF(J27="Cancelado","CANCELADO",IF(OR(J27="Fechado",J27="Resolvido"),"CONCLUÍDO",IF(OR(P27="ATRASADO",U27&gt;=Listas!$B$16),"ESCALAR",IF(AND(M27="ATRASADO",L27=""),"RESPONDER AGORA",IF(R27&gt;=Listas!$B$14,"REVISAR BACKLOG","ACOMPANHAR")))))))</x:f>
      </x:c>
      <x:c r="W27" s="28"/>
      <x:c r="X27" s="194" t="str">
        <x:f>IF(COUNTA(A27:J27,L27,O27,S27:T27,W27)=0,"",IF(OR(NOT(ISNUMBER(Listas!$B$14)),Listas!$B$14&lt;0,NOT(ISNUMBER(Listas!$B$16)),Listas!$B$16&lt;1,COUNT(Listas!$B$6:$C$9)&lt;&gt;8,MIN(Listas!$B$6:$C$9)&lt;=0),"Parâmetros inválidos",IF(A27="","ID ausente",IF(COUNTIFS($A$5:$A$204,A27)&lt;&gt;1,"ID duplicado",IF(OR(NOT(ISNUMBER(B27)),B27&lt;=0),"Abertura inválida",IF(OR(NOT(ISNUMBER(Listas!$B$18)),Listas!$B$18&lt;=0),"Data da análise inválida",IF(B27&gt;Listas!$B$18,"Abertura após análise",IF(COUNTIFS(Listas!$A$6:$A$9,H27)&lt;&gt;1,"Prioridade inválida",IF(COUNTIFS(Equipe!$A$5:$A$12,I27)&lt;&gt;1,"Responsável inválido",IF(COUNTIFS(Listas!$E$6:$E$11,J27)&lt;&gt;1,"Status inválido",IF(AND(L27&lt;&gt;"",OR(NOT(ISNUMBER(L27)),L27&lt;B27,L27&gt;Listas!$B$18)),"Resposta inválida",IF(AND(O27&lt;&gt;"",OR(NOT(ISNUMBER(O27)),O27&lt;B27,O27&gt;Listas!$B$18)),"Resolução inválida",IF(AND(OR(J27="Fechado",J27="Resolvido"),O27=""),"Conclusão sem resolução",IF(OR(NOT(ISNUMBER(S27)),S27&lt;1,S27&gt;5,IF(ISNUMBER(S27),S27&lt;&gt;INT(S27),FALSE),NOT(ISNUMBER(T27)),T27&lt;1,T27&gt;5,IF(ISNUMBER(T27),T27&lt;&gt;INT(T27),FALSE)),"Impacto ou urgência inválido",""))))))))))))))</x:f>
      </x:c>
      <x:c r="Y27" s="194" t="n">
        <x:f>IF(AND(COUNTA(A27:J27,L27,O27,S27:T27,W27)&gt;0,OR(Listas!$B$20="Todos",I27=Listas!$B$20)),1,0)</x:f>
        <x:v>0</x:v>
      </x:c>
      <x:c r="Z27" s="194" t="n">
        <x:f>IF(AND(Y27=1,X27="",J27&lt;&gt;"Cancelado",NOT(OR(J27="Fechado",J27="Resolvido"))),1,0)</x:f>
        <x:v>0</x:v>
      </x:c>
      <x:c r="AA27" s="194" t="n">
        <x:f>IF(AND(Y27=1,X27="",OR(J27="Fechado",J27="Resolvido")),1,0)</x:f>
        <x:v>0</x:v>
      </x:c>
      <x:c r="AB27" s="194" t="n">
        <x:f>IF(Y27=0,0,IF(X27&lt;&gt;"",1,IF(Z27=0,0,IF(P27="ATRASADO",2,IF(AND(M27="ATRASADO",L27=""),3,IF(V27="ESCALAR",4,IF(V27="REVISAR BACKLOG",5,0)))))))</x:f>
        <x:v>0</x:v>
      </x:c>
      <x:c r="AC27" s="194" t="str">
        <x:f>IF(AB27=0,"",COUNTIFS($AB$5:$AB$204,"&gt;0",$AB$5:$AB$204,"&lt;"&amp;AB27)+COUNTIFS($AB$5:AB27,AB27))</x:f>
      </x:c>
      <x:c r="AD27" s="194" t="n">
        <x:f>IF(AND(A27&lt;&gt;"",X27=""),1,0)</x:f>
        <x:v>0</x:v>
      </x:c>
      <x:c r="AE27" s="194" t="n">
        <x:f>IF(AND(Y27=1,X27&lt;&gt;""),1,0)</x:f>
        <x:v>0</x:v>
      </x:c>
      <x:c r="AF27" s="194" t="n">
        <x:f>IF(L27="",1,0)</x:f>
        <x:v>1</x:v>
      </x:c>
    </x:row>
    <x:row r="28">
      <x:c r="A28" s="28"/>
      <x:c r="B28" s="41"/>
      <x:c r="C28" s="28"/>
      <x:c r="D28" s="28"/>
      <x:c r="E28" s="28"/>
      <x:c r="F28" s="28"/>
      <x:c r="G28" s="28"/>
      <x:c r="H28" s="28"/>
      <x:c r="I28" s="28"/>
      <x:c r="J28" s="28"/>
      <x:c r="K28" s="54" t="str">
        <x:f>IF(OR(A28="",X28&lt;&gt;""),"",B28+INDEX(Listas!$B$6:$B$9,MATCH(H28,Listas!$A$6:$A$9,0))/24)</x:f>
      </x:c>
      <x:c r="L28" s="41"/>
      <x:c r="M28" s="55" t="str">
        <x:f>IF(A28="","",IF(X28&lt;&gt;"","DADO PENDENTE",IF(J28="Cancelado","N.A.",IF(L28&lt;&gt;"",IF(L28&lt;=K28,"ATENDIDO","ATRASADO"),IF(OR(J28="Fechado",J28="Resolvido"),"SEM EVIDÊNCIA",IF(Listas!$B$18&gt;K28,"ATRASADO","PENDENTE"))))))</x:f>
      </x:c>
      <x:c r="N28" s="54" t="str">
        <x:f>IF(OR(A28="",X28&lt;&gt;""),"",B28+INDEX(Listas!$C$6:$C$9,MATCH(H28,Listas!$A$6:$A$9,0))/24)</x:f>
      </x:c>
      <x:c r="O28" s="41"/>
      <x:c r="P28" s="55" t="str">
        <x:f>IF(A28="","",IF(X28&lt;&gt;"","DADO PENDENTE",IF(J28="Cancelado","N.A.",IF(OR(J28="Fechado",J28="Resolvido"),IF(O28&lt;=N28,"ATENDIDO","ATRASADO"),IF(Listas!$B$18&gt;N28,"ATRASADO","PENDENTE")))))</x:f>
      </x:c>
      <x:c r="Q28" s="56" t="str">
        <x:f>IF(OR(A28="",X28&lt;&gt;"",J28="Cancelado"),"",24*IF(OR(J28="Fechado",J28="Resolvido"),O28-B28,Listas!$B$18-B28))</x:f>
      </x:c>
      <x:c r="R28" s="57" t="str">
        <x:f>IF(OR(A28="",X28&lt;&gt;"",J28="Cancelado"),"",INT(IF(OR(J28="Fechado",J28="Resolvido"),O28-B28,Listas!$B$18-B28)))</x:f>
      </x:c>
      <x:c r="S28" s="58"/>
      <x:c r="T28" s="58"/>
      <x:c r="U28" s="57" t="str">
        <x:f>IF(OR(A28="",X28&lt;&gt;"",J28="Cancelado"),"",S28*T28)</x:f>
      </x:c>
      <x:c r="V28" s="55" t="str">
        <x:f>IF(A28="","",IF(X28&lt;&gt;"","CORRIGIR DADOS",IF(J28="Cancelado","CANCELADO",IF(OR(J28="Fechado",J28="Resolvido"),"CONCLUÍDO",IF(OR(P28="ATRASADO",U28&gt;=Listas!$B$16),"ESCALAR",IF(AND(M28="ATRASADO",L28=""),"RESPONDER AGORA",IF(R28&gt;=Listas!$B$14,"REVISAR BACKLOG","ACOMPANHAR")))))))</x:f>
      </x:c>
      <x:c r="W28" s="28"/>
      <x:c r="X28" s="194" t="str">
        <x:f>IF(COUNTA(A28:J28,L28,O28,S28:T28,W28)=0,"",IF(OR(NOT(ISNUMBER(Listas!$B$14)),Listas!$B$14&lt;0,NOT(ISNUMBER(Listas!$B$16)),Listas!$B$16&lt;1,COUNT(Listas!$B$6:$C$9)&lt;&gt;8,MIN(Listas!$B$6:$C$9)&lt;=0),"Parâmetros inválidos",IF(A28="","ID ausente",IF(COUNTIFS($A$5:$A$204,A28)&lt;&gt;1,"ID duplicado",IF(OR(NOT(ISNUMBER(B28)),B28&lt;=0),"Abertura inválida",IF(OR(NOT(ISNUMBER(Listas!$B$18)),Listas!$B$18&lt;=0),"Data da análise inválida",IF(B28&gt;Listas!$B$18,"Abertura após análise",IF(COUNTIFS(Listas!$A$6:$A$9,H28)&lt;&gt;1,"Prioridade inválida",IF(COUNTIFS(Equipe!$A$5:$A$12,I28)&lt;&gt;1,"Responsável inválido",IF(COUNTIFS(Listas!$E$6:$E$11,J28)&lt;&gt;1,"Status inválido",IF(AND(L28&lt;&gt;"",OR(NOT(ISNUMBER(L28)),L28&lt;B28,L28&gt;Listas!$B$18)),"Resposta inválida",IF(AND(O28&lt;&gt;"",OR(NOT(ISNUMBER(O28)),O28&lt;B28,O28&gt;Listas!$B$18)),"Resolução inválida",IF(AND(OR(J28="Fechado",J28="Resolvido"),O28=""),"Conclusão sem resolução",IF(OR(NOT(ISNUMBER(S28)),S28&lt;1,S28&gt;5,IF(ISNUMBER(S28),S28&lt;&gt;INT(S28),FALSE),NOT(ISNUMBER(T28)),T28&lt;1,T28&gt;5,IF(ISNUMBER(T28),T28&lt;&gt;INT(T28),FALSE)),"Impacto ou urgência inválido",""))))))))))))))</x:f>
      </x:c>
      <x:c r="Y28" s="194" t="n">
        <x:f>IF(AND(COUNTA(A28:J28,L28,O28,S28:T28,W28)&gt;0,OR(Listas!$B$20="Todos",I28=Listas!$B$20)),1,0)</x:f>
        <x:v>0</x:v>
      </x:c>
      <x:c r="Z28" s="194" t="n">
        <x:f>IF(AND(Y28=1,X28="",J28&lt;&gt;"Cancelado",NOT(OR(J28="Fechado",J28="Resolvido"))),1,0)</x:f>
        <x:v>0</x:v>
      </x:c>
      <x:c r="AA28" s="194" t="n">
        <x:f>IF(AND(Y28=1,X28="",OR(J28="Fechado",J28="Resolvido")),1,0)</x:f>
        <x:v>0</x:v>
      </x:c>
      <x:c r="AB28" s="194" t="n">
        <x:f>IF(Y28=0,0,IF(X28&lt;&gt;"",1,IF(Z28=0,0,IF(P28="ATRASADO",2,IF(AND(M28="ATRASADO",L28=""),3,IF(V28="ESCALAR",4,IF(V28="REVISAR BACKLOG",5,0)))))))</x:f>
        <x:v>0</x:v>
      </x:c>
      <x:c r="AC28" s="194" t="str">
        <x:f>IF(AB28=0,"",COUNTIFS($AB$5:$AB$204,"&gt;0",$AB$5:$AB$204,"&lt;"&amp;AB28)+COUNTIFS($AB$5:AB28,AB28))</x:f>
      </x:c>
      <x:c r="AD28" s="194" t="n">
        <x:f>IF(AND(A28&lt;&gt;"",X28=""),1,0)</x:f>
        <x:v>0</x:v>
      </x:c>
      <x:c r="AE28" s="194" t="n">
        <x:f>IF(AND(Y28=1,X28&lt;&gt;""),1,0)</x:f>
        <x:v>0</x:v>
      </x:c>
      <x:c r="AF28" s="194" t="n">
        <x:f>IF(L28="",1,0)</x:f>
        <x:v>1</x:v>
      </x:c>
    </x:row>
    <x:row r="29">
      <x:c r="A29" s="28"/>
      <x:c r="B29" s="41"/>
      <x:c r="C29" s="28"/>
      <x:c r="D29" s="28"/>
      <x:c r="E29" s="28"/>
      <x:c r="F29" s="28"/>
      <x:c r="G29" s="28"/>
      <x:c r="H29" s="28"/>
      <x:c r="I29" s="28"/>
      <x:c r="J29" s="28"/>
      <x:c r="K29" s="54" t="str">
        <x:f>IF(OR(A29="",X29&lt;&gt;""),"",B29+INDEX(Listas!$B$6:$B$9,MATCH(H29,Listas!$A$6:$A$9,0))/24)</x:f>
      </x:c>
      <x:c r="L29" s="41"/>
      <x:c r="M29" s="55" t="str">
        <x:f>IF(A29="","",IF(X29&lt;&gt;"","DADO PENDENTE",IF(J29="Cancelado","N.A.",IF(L29&lt;&gt;"",IF(L29&lt;=K29,"ATENDIDO","ATRASADO"),IF(OR(J29="Fechado",J29="Resolvido"),"SEM EVIDÊNCIA",IF(Listas!$B$18&gt;K29,"ATRASADO","PENDENTE"))))))</x:f>
      </x:c>
      <x:c r="N29" s="54" t="str">
        <x:f>IF(OR(A29="",X29&lt;&gt;""),"",B29+INDEX(Listas!$C$6:$C$9,MATCH(H29,Listas!$A$6:$A$9,0))/24)</x:f>
      </x:c>
      <x:c r="O29" s="41"/>
      <x:c r="P29" s="55" t="str">
        <x:f>IF(A29="","",IF(X29&lt;&gt;"","DADO PENDENTE",IF(J29="Cancelado","N.A.",IF(OR(J29="Fechado",J29="Resolvido"),IF(O29&lt;=N29,"ATENDIDO","ATRASADO"),IF(Listas!$B$18&gt;N29,"ATRASADO","PENDENTE")))))</x:f>
      </x:c>
      <x:c r="Q29" s="56" t="str">
        <x:f>IF(OR(A29="",X29&lt;&gt;"",J29="Cancelado"),"",24*IF(OR(J29="Fechado",J29="Resolvido"),O29-B29,Listas!$B$18-B29))</x:f>
      </x:c>
      <x:c r="R29" s="57" t="str">
        <x:f>IF(OR(A29="",X29&lt;&gt;"",J29="Cancelado"),"",INT(IF(OR(J29="Fechado",J29="Resolvido"),O29-B29,Listas!$B$18-B29)))</x:f>
      </x:c>
      <x:c r="S29" s="58"/>
      <x:c r="T29" s="58"/>
      <x:c r="U29" s="57" t="str">
        <x:f>IF(OR(A29="",X29&lt;&gt;"",J29="Cancelado"),"",S29*T29)</x:f>
      </x:c>
      <x:c r="V29" s="55" t="str">
        <x:f>IF(A29="","",IF(X29&lt;&gt;"","CORRIGIR DADOS",IF(J29="Cancelado","CANCELADO",IF(OR(J29="Fechado",J29="Resolvido"),"CONCLUÍDO",IF(OR(P29="ATRASADO",U29&gt;=Listas!$B$16),"ESCALAR",IF(AND(M29="ATRASADO",L29=""),"RESPONDER AGORA",IF(R29&gt;=Listas!$B$14,"REVISAR BACKLOG","ACOMPANHAR")))))))</x:f>
      </x:c>
      <x:c r="W29" s="28"/>
      <x:c r="X29" s="194" t="str">
        <x:f>IF(COUNTA(A29:J29,L29,O29,S29:T29,W29)=0,"",IF(OR(NOT(ISNUMBER(Listas!$B$14)),Listas!$B$14&lt;0,NOT(ISNUMBER(Listas!$B$16)),Listas!$B$16&lt;1,COUNT(Listas!$B$6:$C$9)&lt;&gt;8,MIN(Listas!$B$6:$C$9)&lt;=0),"Parâmetros inválidos",IF(A29="","ID ausente",IF(COUNTIFS($A$5:$A$204,A29)&lt;&gt;1,"ID duplicado",IF(OR(NOT(ISNUMBER(B29)),B29&lt;=0),"Abertura inválida",IF(OR(NOT(ISNUMBER(Listas!$B$18)),Listas!$B$18&lt;=0),"Data da análise inválida",IF(B29&gt;Listas!$B$18,"Abertura após análise",IF(COUNTIFS(Listas!$A$6:$A$9,H29)&lt;&gt;1,"Prioridade inválida",IF(COUNTIFS(Equipe!$A$5:$A$12,I29)&lt;&gt;1,"Responsável inválido",IF(COUNTIFS(Listas!$E$6:$E$11,J29)&lt;&gt;1,"Status inválido",IF(AND(L29&lt;&gt;"",OR(NOT(ISNUMBER(L29)),L29&lt;B29,L29&gt;Listas!$B$18)),"Resposta inválida",IF(AND(O29&lt;&gt;"",OR(NOT(ISNUMBER(O29)),O29&lt;B29,O29&gt;Listas!$B$18)),"Resolução inválida",IF(AND(OR(J29="Fechado",J29="Resolvido"),O29=""),"Conclusão sem resolução",IF(OR(NOT(ISNUMBER(S29)),S29&lt;1,S29&gt;5,IF(ISNUMBER(S29),S29&lt;&gt;INT(S29),FALSE),NOT(ISNUMBER(T29)),T29&lt;1,T29&gt;5,IF(ISNUMBER(T29),T29&lt;&gt;INT(T29),FALSE)),"Impacto ou urgência inválido",""))))))))))))))</x:f>
      </x:c>
      <x:c r="Y29" s="194" t="n">
        <x:f>IF(AND(COUNTA(A29:J29,L29,O29,S29:T29,W29)&gt;0,OR(Listas!$B$20="Todos",I29=Listas!$B$20)),1,0)</x:f>
        <x:v>0</x:v>
      </x:c>
      <x:c r="Z29" s="194" t="n">
        <x:f>IF(AND(Y29=1,X29="",J29&lt;&gt;"Cancelado",NOT(OR(J29="Fechado",J29="Resolvido"))),1,0)</x:f>
        <x:v>0</x:v>
      </x:c>
      <x:c r="AA29" s="194" t="n">
        <x:f>IF(AND(Y29=1,X29="",OR(J29="Fechado",J29="Resolvido")),1,0)</x:f>
        <x:v>0</x:v>
      </x:c>
      <x:c r="AB29" s="194" t="n">
        <x:f>IF(Y29=0,0,IF(X29&lt;&gt;"",1,IF(Z29=0,0,IF(P29="ATRASADO",2,IF(AND(M29="ATRASADO",L29=""),3,IF(V29="ESCALAR",4,IF(V29="REVISAR BACKLOG",5,0)))))))</x:f>
        <x:v>0</x:v>
      </x:c>
      <x:c r="AC29" s="194" t="str">
        <x:f>IF(AB29=0,"",COUNTIFS($AB$5:$AB$204,"&gt;0",$AB$5:$AB$204,"&lt;"&amp;AB29)+COUNTIFS($AB$5:AB29,AB29))</x:f>
      </x:c>
      <x:c r="AD29" s="194" t="n">
        <x:f>IF(AND(A29&lt;&gt;"",X29=""),1,0)</x:f>
        <x:v>0</x:v>
      </x:c>
      <x:c r="AE29" s="194" t="n">
        <x:f>IF(AND(Y29=1,X29&lt;&gt;""),1,0)</x:f>
        <x:v>0</x:v>
      </x:c>
      <x:c r="AF29" s="194" t="n">
        <x:f>IF(L29="",1,0)</x:f>
        <x:v>1</x:v>
      </x:c>
    </x:row>
    <x:row r="30">
      <x:c r="A30" s="28"/>
      <x:c r="B30" s="41"/>
      <x:c r="C30" s="28"/>
      <x:c r="D30" s="28"/>
      <x:c r="E30" s="28"/>
      <x:c r="F30" s="28"/>
      <x:c r="G30" s="28"/>
      <x:c r="H30" s="28"/>
      <x:c r="I30" s="28"/>
      <x:c r="J30" s="28"/>
      <x:c r="K30" s="54" t="str">
        <x:f>IF(OR(A30="",X30&lt;&gt;""),"",B30+INDEX(Listas!$B$6:$B$9,MATCH(H30,Listas!$A$6:$A$9,0))/24)</x:f>
      </x:c>
      <x:c r="L30" s="41"/>
      <x:c r="M30" s="55" t="str">
        <x:f>IF(A30="","",IF(X30&lt;&gt;"","DADO PENDENTE",IF(J30="Cancelado","N.A.",IF(L30&lt;&gt;"",IF(L30&lt;=K30,"ATENDIDO","ATRASADO"),IF(OR(J30="Fechado",J30="Resolvido"),"SEM EVIDÊNCIA",IF(Listas!$B$18&gt;K30,"ATRASADO","PENDENTE"))))))</x:f>
      </x:c>
      <x:c r="N30" s="54" t="str">
        <x:f>IF(OR(A30="",X30&lt;&gt;""),"",B30+INDEX(Listas!$C$6:$C$9,MATCH(H30,Listas!$A$6:$A$9,0))/24)</x:f>
      </x:c>
      <x:c r="O30" s="41"/>
      <x:c r="P30" s="55" t="str">
        <x:f>IF(A30="","",IF(X30&lt;&gt;"","DADO PENDENTE",IF(J30="Cancelado","N.A.",IF(OR(J30="Fechado",J30="Resolvido"),IF(O30&lt;=N30,"ATENDIDO","ATRASADO"),IF(Listas!$B$18&gt;N30,"ATRASADO","PENDENTE")))))</x:f>
      </x:c>
      <x:c r="Q30" s="56" t="str">
        <x:f>IF(OR(A30="",X30&lt;&gt;"",J30="Cancelado"),"",24*IF(OR(J30="Fechado",J30="Resolvido"),O30-B30,Listas!$B$18-B30))</x:f>
      </x:c>
      <x:c r="R30" s="57" t="str">
        <x:f>IF(OR(A30="",X30&lt;&gt;"",J30="Cancelado"),"",INT(IF(OR(J30="Fechado",J30="Resolvido"),O30-B30,Listas!$B$18-B30)))</x:f>
      </x:c>
      <x:c r="S30" s="58"/>
      <x:c r="T30" s="58"/>
      <x:c r="U30" s="57" t="str">
        <x:f>IF(OR(A30="",X30&lt;&gt;"",J30="Cancelado"),"",S30*T30)</x:f>
      </x:c>
      <x:c r="V30" s="55" t="str">
        <x:f>IF(A30="","",IF(X30&lt;&gt;"","CORRIGIR DADOS",IF(J30="Cancelado","CANCELADO",IF(OR(J30="Fechado",J30="Resolvido"),"CONCLUÍDO",IF(OR(P30="ATRASADO",U30&gt;=Listas!$B$16),"ESCALAR",IF(AND(M30="ATRASADO",L30=""),"RESPONDER AGORA",IF(R30&gt;=Listas!$B$14,"REVISAR BACKLOG","ACOMPANHAR")))))))</x:f>
      </x:c>
      <x:c r="W30" s="28"/>
      <x:c r="X30" s="194" t="str">
        <x:f>IF(COUNTA(A30:J30,L30,O30,S30:T30,W30)=0,"",IF(OR(NOT(ISNUMBER(Listas!$B$14)),Listas!$B$14&lt;0,NOT(ISNUMBER(Listas!$B$16)),Listas!$B$16&lt;1,COUNT(Listas!$B$6:$C$9)&lt;&gt;8,MIN(Listas!$B$6:$C$9)&lt;=0),"Parâmetros inválidos",IF(A30="","ID ausente",IF(COUNTIFS($A$5:$A$204,A30)&lt;&gt;1,"ID duplicado",IF(OR(NOT(ISNUMBER(B30)),B30&lt;=0),"Abertura inválida",IF(OR(NOT(ISNUMBER(Listas!$B$18)),Listas!$B$18&lt;=0),"Data da análise inválida",IF(B30&gt;Listas!$B$18,"Abertura após análise",IF(COUNTIFS(Listas!$A$6:$A$9,H30)&lt;&gt;1,"Prioridade inválida",IF(COUNTIFS(Equipe!$A$5:$A$12,I30)&lt;&gt;1,"Responsável inválido",IF(COUNTIFS(Listas!$E$6:$E$11,J30)&lt;&gt;1,"Status inválido",IF(AND(L30&lt;&gt;"",OR(NOT(ISNUMBER(L30)),L30&lt;B30,L30&gt;Listas!$B$18)),"Resposta inválida",IF(AND(O30&lt;&gt;"",OR(NOT(ISNUMBER(O30)),O30&lt;B30,O30&gt;Listas!$B$18)),"Resolução inválida",IF(AND(OR(J30="Fechado",J30="Resolvido"),O30=""),"Conclusão sem resolução",IF(OR(NOT(ISNUMBER(S30)),S30&lt;1,S30&gt;5,IF(ISNUMBER(S30),S30&lt;&gt;INT(S30),FALSE),NOT(ISNUMBER(T30)),T30&lt;1,T30&gt;5,IF(ISNUMBER(T30),T30&lt;&gt;INT(T30),FALSE)),"Impacto ou urgência inválido",""))))))))))))))</x:f>
      </x:c>
      <x:c r="Y30" s="194" t="n">
        <x:f>IF(AND(COUNTA(A30:J30,L30,O30,S30:T30,W30)&gt;0,OR(Listas!$B$20="Todos",I30=Listas!$B$20)),1,0)</x:f>
        <x:v>0</x:v>
      </x:c>
      <x:c r="Z30" s="194" t="n">
        <x:f>IF(AND(Y30=1,X30="",J30&lt;&gt;"Cancelado",NOT(OR(J30="Fechado",J30="Resolvido"))),1,0)</x:f>
        <x:v>0</x:v>
      </x:c>
      <x:c r="AA30" s="194" t="n">
        <x:f>IF(AND(Y30=1,X30="",OR(J30="Fechado",J30="Resolvido")),1,0)</x:f>
        <x:v>0</x:v>
      </x:c>
      <x:c r="AB30" s="194" t="n">
        <x:f>IF(Y30=0,0,IF(X30&lt;&gt;"",1,IF(Z30=0,0,IF(P30="ATRASADO",2,IF(AND(M30="ATRASADO",L30=""),3,IF(V30="ESCALAR",4,IF(V30="REVISAR BACKLOG",5,0)))))))</x:f>
        <x:v>0</x:v>
      </x:c>
      <x:c r="AC30" s="194" t="str">
        <x:f>IF(AB30=0,"",COUNTIFS($AB$5:$AB$204,"&gt;0",$AB$5:$AB$204,"&lt;"&amp;AB30)+COUNTIFS($AB$5:AB30,AB30))</x:f>
      </x:c>
      <x:c r="AD30" s="194" t="n">
        <x:f>IF(AND(A30&lt;&gt;"",X30=""),1,0)</x:f>
        <x:v>0</x:v>
      </x:c>
      <x:c r="AE30" s="194" t="n">
        <x:f>IF(AND(Y30=1,X30&lt;&gt;""),1,0)</x:f>
        <x:v>0</x:v>
      </x:c>
      <x:c r="AF30" s="194" t="n">
        <x:f>IF(L30="",1,0)</x:f>
        <x:v>1</x:v>
      </x:c>
    </x:row>
    <x:row r="31">
      <x:c r="A31" s="28"/>
      <x:c r="B31" s="41"/>
      <x:c r="C31" s="28"/>
      <x:c r="D31" s="28"/>
      <x:c r="E31" s="28"/>
      <x:c r="F31" s="28"/>
      <x:c r="G31" s="28"/>
      <x:c r="H31" s="28"/>
      <x:c r="I31" s="28"/>
      <x:c r="J31" s="28"/>
      <x:c r="K31" s="54" t="str">
        <x:f>IF(OR(A31="",X31&lt;&gt;""),"",B31+INDEX(Listas!$B$6:$B$9,MATCH(H31,Listas!$A$6:$A$9,0))/24)</x:f>
      </x:c>
      <x:c r="L31" s="41"/>
      <x:c r="M31" s="55" t="str">
        <x:f>IF(A31="","",IF(X31&lt;&gt;"","DADO PENDENTE",IF(J31="Cancelado","N.A.",IF(L31&lt;&gt;"",IF(L31&lt;=K31,"ATENDIDO","ATRASADO"),IF(OR(J31="Fechado",J31="Resolvido"),"SEM EVIDÊNCIA",IF(Listas!$B$18&gt;K31,"ATRASADO","PENDENTE"))))))</x:f>
      </x:c>
      <x:c r="N31" s="54" t="str">
        <x:f>IF(OR(A31="",X31&lt;&gt;""),"",B31+INDEX(Listas!$C$6:$C$9,MATCH(H31,Listas!$A$6:$A$9,0))/24)</x:f>
      </x:c>
      <x:c r="O31" s="41"/>
      <x:c r="P31" s="55" t="str">
        <x:f>IF(A31="","",IF(X31&lt;&gt;"","DADO PENDENTE",IF(J31="Cancelado","N.A.",IF(OR(J31="Fechado",J31="Resolvido"),IF(O31&lt;=N31,"ATENDIDO","ATRASADO"),IF(Listas!$B$18&gt;N31,"ATRASADO","PENDENTE")))))</x:f>
      </x:c>
      <x:c r="Q31" s="56" t="str">
        <x:f>IF(OR(A31="",X31&lt;&gt;"",J31="Cancelado"),"",24*IF(OR(J31="Fechado",J31="Resolvido"),O31-B31,Listas!$B$18-B31))</x:f>
      </x:c>
      <x:c r="R31" s="57" t="str">
        <x:f>IF(OR(A31="",X31&lt;&gt;"",J31="Cancelado"),"",INT(IF(OR(J31="Fechado",J31="Resolvido"),O31-B31,Listas!$B$18-B31)))</x:f>
      </x:c>
      <x:c r="S31" s="58"/>
      <x:c r="T31" s="58"/>
      <x:c r="U31" s="57" t="str">
        <x:f>IF(OR(A31="",X31&lt;&gt;"",J31="Cancelado"),"",S31*T31)</x:f>
      </x:c>
      <x:c r="V31" s="55" t="str">
        <x:f>IF(A31="","",IF(X31&lt;&gt;"","CORRIGIR DADOS",IF(J31="Cancelado","CANCELADO",IF(OR(J31="Fechado",J31="Resolvido"),"CONCLUÍDO",IF(OR(P31="ATRASADO",U31&gt;=Listas!$B$16),"ESCALAR",IF(AND(M31="ATRASADO",L31=""),"RESPONDER AGORA",IF(R31&gt;=Listas!$B$14,"REVISAR BACKLOG","ACOMPANHAR")))))))</x:f>
      </x:c>
      <x:c r="W31" s="28"/>
      <x:c r="X31" s="194" t="str">
        <x:f>IF(COUNTA(A31:J31,L31,O31,S31:T31,W31)=0,"",IF(OR(NOT(ISNUMBER(Listas!$B$14)),Listas!$B$14&lt;0,NOT(ISNUMBER(Listas!$B$16)),Listas!$B$16&lt;1,COUNT(Listas!$B$6:$C$9)&lt;&gt;8,MIN(Listas!$B$6:$C$9)&lt;=0),"Parâmetros inválidos",IF(A31="","ID ausente",IF(COUNTIFS($A$5:$A$204,A31)&lt;&gt;1,"ID duplicado",IF(OR(NOT(ISNUMBER(B31)),B31&lt;=0),"Abertura inválida",IF(OR(NOT(ISNUMBER(Listas!$B$18)),Listas!$B$18&lt;=0),"Data da análise inválida",IF(B31&gt;Listas!$B$18,"Abertura após análise",IF(COUNTIFS(Listas!$A$6:$A$9,H31)&lt;&gt;1,"Prioridade inválida",IF(COUNTIFS(Equipe!$A$5:$A$12,I31)&lt;&gt;1,"Responsável inválido",IF(COUNTIFS(Listas!$E$6:$E$11,J31)&lt;&gt;1,"Status inválido",IF(AND(L31&lt;&gt;"",OR(NOT(ISNUMBER(L31)),L31&lt;B31,L31&gt;Listas!$B$18)),"Resposta inválida",IF(AND(O31&lt;&gt;"",OR(NOT(ISNUMBER(O31)),O31&lt;B31,O31&gt;Listas!$B$18)),"Resolução inválida",IF(AND(OR(J31="Fechado",J31="Resolvido"),O31=""),"Conclusão sem resolução",IF(OR(NOT(ISNUMBER(S31)),S31&lt;1,S31&gt;5,IF(ISNUMBER(S31),S31&lt;&gt;INT(S31),FALSE),NOT(ISNUMBER(T31)),T31&lt;1,T31&gt;5,IF(ISNUMBER(T31),T31&lt;&gt;INT(T31),FALSE)),"Impacto ou urgência inválido",""))))))))))))))</x:f>
      </x:c>
      <x:c r="Y31" s="194" t="n">
        <x:f>IF(AND(COUNTA(A31:J31,L31,O31,S31:T31,W31)&gt;0,OR(Listas!$B$20="Todos",I31=Listas!$B$20)),1,0)</x:f>
        <x:v>0</x:v>
      </x:c>
      <x:c r="Z31" s="194" t="n">
        <x:f>IF(AND(Y31=1,X31="",J31&lt;&gt;"Cancelado",NOT(OR(J31="Fechado",J31="Resolvido"))),1,0)</x:f>
        <x:v>0</x:v>
      </x:c>
      <x:c r="AA31" s="194" t="n">
        <x:f>IF(AND(Y31=1,X31="",OR(J31="Fechado",J31="Resolvido")),1,0)</x:f>
        <x:v>0</x:v>
      </x:c>
      <x:c r="AB31" s="194" t="n">
        <x:f>IF(Y31=0,0,IF(X31&lt;&gt;"",1,IF(Z31=0,0,IF(P31="ATRASADO",2,IF(AND(M31="ATRASADO",L31=""),3,IF(V31="ESCALAR",4,IF(V31="REVISAR BACKLOG",5,0)))))))</x:f>
        <x:v>0</x:v>
      </x:c>
      <x:c r="AC31" s="194" t="str">
        <x:f>IF(AB31=0,"",COUNTIFS($AB$5:$AB$204,"&gt;0",$AB$5:$AB$204,"&lt;"&amp;AB31)+COUNTIFS($AB$5:AB31,AB31))</x:f>
      </x:c>
      <x:c r="AD31" s="194" t="n">
        <x:f>IF(AND(A31&lt;&gt;"",X31=""),1,0)</x:f>
        <x:v>0</x:v>
      </x:c>
      <x:c r="AE31" s="194" t="n">
        <x:f>IF(AND(Y31=1,X31&lt;&gt;""),1,0)</x:f>
        <x:v>0</x:v>
      </x:c>
      <x:c r="AF31" s="194" t="n">
        <x:f>IF(L31="",1,0)</x:f>
        <x:v>1</x:v>
      </x:c>
    </x:row>
    <x:row r="32">
      <x:c r="A32" s="28"/>
      <x:c r="B32" s="41"/>
      <x:c r="C32" s="28"/>
      <x:c r="D32" s="28"/>
      <x:c r="E32" s="28"/>
      <x:c r="F32" s="28"/>
      <x:c r="G32" s="28"/>
      <x:c r="H32" s="28"/>
      <x:c r="I32" s="28"/>
      <x:c r="J32" s="28"/>
      <x:c r="K32" s="54" t="str">
        <x:f>IF(OR(A32="",X32&lt;&gt;""),"",B32+INDEX(Listas!$B$6:$B$9,MATCH(H32,Listas!$A$6:$A$9,0))/24)</x:f>
      </x:c>
      <x:c r="L32" s="41"/>
      <x:c r="M32" s="55" t="str">
        <x:f>IF(A32="","",IF(X32&lt;&gt;"","DADO PENDENTE",IF(J32="Cancelado","N.A.",IF(L32&lt;&gt;"",IF(L32&lt;=K32,"ATENDIDO","ATRASADO"),IF(OR(J32="Fechado",J32="Resolvido"),"SEM EVIDÊNCIA",IF(Listas!$B$18&gt;K32,"ATRASADO","PENDENTE"))))))</x:f>
      </x:c>
      <x:c r="N32" s="54" t="str">
        <x:f>IF(OR(A32="",X32&lt;&gt;""),"",B32+INDEX(Listas!$C$6:$C$9,MATCH(H32,Listas!$A$6:$A$9,0))/24)</x:f>
      </x:c>
      <x:c r="O32" s="41"/>
      <x:c r="P32" s="55" t="str">
        <x:f>IF(A32="","",IF(X32&lt;&gt;"","DADO PENDENTE",IF(J32="Cancelado","N.A.",IF(OR(J32="Fechado",J32="Resolvido"),IF(O32&lt;=N32,"ATENDIDO","ATRASADO"),IF(Listas!$B$18&gt;N32,"ATRASADO","PENDENTE")))))</x:f>
      </x:c>
      <x:c r="Q32" s="56" t="str">
        <x:f>IF(OR(A32="",X32&lt;&gt;"",J32="Cancelado"),"",24*IF(OR(J32="Fechado",J32="Resolvido"),O32-B32,Listas!$B$18-B32))</x:f>
      </x:c>
      <x:c r="R32" s="57" t="str">
        <x:f>IF(OR(A32="",X32&lt;&gt;"",J32="Cancelado"),"",INT(IF(OR(J32="Fechado",J32="Resolvido"),O32-B32,Listas!$B$18-B32)))</x:f>
      </x:c>
      <x:c r="S32" s="58"/>
      <x:c r="T32" s="58"/>
      <x:c r="U32" s="57" t="str">
        <x:f>IF(OR(A32="",X32&lt;&gt;"",J32="Cancelado"),"",S32*T32)</x:f>
      </x:c>
      <x:c r="V32" s="55" t="str">
        <x:f>IF(A32="","",IF(X32&lt;&gt;"","CORRIGIR DADOS",IF(J32="Cancelado","CANCELADO",IF(OR(J32="Fechado",J32="Resolvido"),"CONCLUÍDO",IF(OR(P32="ATRASADO",U32&gt;=Listas!$B$16),"ESCALAR",IF(AND(M32="ATRASADO",L32=""),"RESPONDER AGORA",IF(R32&gt;=Listas!$B$14,"REVISAR BACKLOG","ACOMPANHAR")))))))</x:f>
      </x:c>
      <x:c r="W32" s="28"/>
      <x:c r="X32" s="194" t="str">
        <x:f>IF(COUNTA(A32:J32,L32,O32,S32:T32,W32)=0,"",IF(OR(NOT(ISNUMBER(Listas!$B$14)),Listas!$B$14&lt;0,NOT(ISNUMBER(Listas!$B$16)),Listas!$B$16&lt;1,COUNT(Listas!$B$6:$C$9)&lt;&gt;8,MIN(Listas!$B$6:$C$9)&lt;=0),"Parâmetros inválidos",IF(A32="","ID ausente",IF(COUNTIFS($A$5:$A$204,A32)&lt;&gt;1,"ID duplicado",IF(OR(NOT(ISNUMBER(B32)),B32&lt;=0),"Abertura inválida",IF(OR(NOT(ISNUMBER(Listas!$B$18)),Listas!$B$18&lt;=0),"Data da análise inválida",IF(B32&gt;Listas!$B$18,"Abertura após análise",IF(COUNTIFS(Listas!$A$6:$A$9,H32)&lt;&gt;1,"Prioridade inválida",IF(COUNTIFS(Equipe!$A$5:$A$12,I32)&lt;&gt;1,"Responsável inválido",IF(COUNTIFS(Listas!$E$6:$E$11,J32)&lt;&gt;1,"Status inválido",IF(AND(L32&lt;&gt;"",OR(NOT(ISNUMBER(L32)),L32&lt;B32,L32&gt;Listas!$B$18)),"Resposta inválida",IF(AND(O32&lt;&gt;"",OR(NOT(ISNUMBER(O32)),O32&lt;B32,O32&gt;Listas!$B$18)),"Resolução inválida",IF(AND(OR(J32="Fechado",J32="Resolvido"),O32=""),"Conclusão sem resolução",IF(OR(NOT(ISNUMBER(S32)),S32&lt;1,S32&gt;5,IF(ISNUMBER(S32),S32&lt;&gt;INT(S32),FALSE),NOT(ISNUMBER(T32)),T32&lt;1,T32&gt;5,IF(ISNUMBER(T32),T32&lt;&gt;INT(T32),FALSE)),"Impacto ou urgência inválido",""))))))))))))))</x:f>
      </x:c>
      <x:c r="Y32" s="194" t="n">
        <x:f>IF(AND(COUNTA(A32:J32,L32,O32,S32:T32,W32)&gt;0,OR(Listas!$B$20="Todos",I32=Listas!$B$20)),1,0)</x:f>
        <x:v>0</x:v>
      </x:c>
      <x:c r="Z32" s="194" t="n">
        <x:f>IF(AND(Y32=1,X32="",J32&lt;&gt;"Cancelado",NOT(OR(J32="Fechado",J32="Resolvido"))),1,0)</x:f>
        <x:v>0</x:v>
      </x:c>
      <x:c r="AA32" s="194" t="n">
        <x:f>IF(AND(Y32=1,X32="",OR(J32="Fechado",J32="Resolvido")),1,0)</x:f>
        <x:v>0</x:v>
      </x:c>
      <x:c r="AB32" s="194" t="n">
        <x:f>IF(Y32=0,0,IF(X32&lt;&gt;"",1,IF(Z32=0,0,IF(P32="ATRASADO",2,IF(AND(M32="ATRASADO",L32=""),3,IF(V32="ESCALAR",4,IF(V32="REVISAR BACKLOG",5,0)))))))</x:f>
        <x:v>0</x:v>
      </x:c>
      <x:c r="AC32" s="194" t="str">
        <x:f>IF(AB32=0,"",COUNTIFS($AB$5:$AB$204,"&gt;0",$AB$5:$AB$204,"&lt;"&amp;AB32)+COUNTIFS($AB$5:AB32,AB32))</x:f>
      </x:c>
      <x:c r="AD32" s="194" t="n">
        <x:f>IF(AND(A32&lt;&gt;"",X32=""),1,0)</x:f>
        <x:v>0</x:v>
      </x:c>
      <x:c r="AE32" s="194" t="n">
        <x:f>IF(AND(Y32=1,X32&lt;&gt;""),1,0)</x:f>
        <x:v>0</x:v>
      </x:c>
      <x:c r="AF32" s="194" t="n">
        <x:f>IF(L32="",1,0)</x:f>
        <x:v>1</x:v>
      </x:c>
    </x:row>
    <x:row r="33">
      <x:c r="A33" s="28"/>
      <x:c r="B33" s="41"/>
      <x:c r="C33" s="28"/>
      <x:c r="D33" s="28"/>
      <x:c r="E33" s="28"/>
      <x:c r="F33" s="28"/>
      <x:c r="G33" s="28"/>
      <x:c r="H33" s="28"/>
      <x:c r="I33" s="28"/>
      <x:c r="J33" s="28"/>
      <x:c r="K33" s="54" t="str">
        <x:f>IF(OR(A33="",X33&lt;&gt;""),"",B33+INDEX(Listas!$B$6:$B$9,MATCH(H33,Listas!$A$6:$A$9,0))/24)</x:f>
      </x:c>
      <x:c r="L33" s="41"/>
      <x:c r="M33" s="55" t="str">
        <x:f>IF(A33="","",IF(X33&lt;&gt;"","DADO PENDENTE",IF(J33="Cancelado","N.A.",IF(L33&lt;&gt;"",IF(L33&lt;=K33,"ATENDIDO","ATRASADO"),IF(OR(J33="Fechado",J33="Resolvido"),"SEM EVIDÊNCIA",IF(Listas!$B$18&gt;K33,"ATRASADO","PENDENTE"))))))</x:f>
      </x:c>
      <x:c r="N33" s="54" t="str">
        <x:f>IF(OR(A33="",X33&lt;&gt;""),"",B33+INDEX(Listas!$C$6:$C$9,MATCH(H33,Listas!$A$6:$A$9,0))/24)</x:f>
      </x:c>
      <x:c r="O33" s="41"/>
      <x:c r="P33" s="55" t="str">
        <x:f>IF(A33="","",IF(X33&lt;&gt;"","DADO PENDENTE",IF(J33="Cancelado","N.A.",IF(OR(J33="Fechado",J33="Resolvido"),IF(O33&lt;=N33,"ATENDIDO","ATRASADO"),IF(Listas!$B$18&gt;N33,"ATRASADO","PENDENTE")))))</x:f>
      </x:c>
      <x:c r="Q33" s="56" t="str">
        <x:f>IF(OR(A33="",X33&lt;&gt;"",J33="Cancelado"),"",24*IF(OR(J33="Fechado",J33="Resolvido"),O33-B33,Listas!$B$18-B33))</x:f>
      </x:c>
      <x:c r="R33" s="57" t="str">
        <x:f>IF(OR(A33="",X33&lt;&gt;"",J33="Cancelado"),"",INT(IF(OR(J33="Fechado",J33="Resolvido"),O33-B33,Listas!$B$18-B33)))</x:f>
      </x:c>
      <x:c r="S33" s="58"/>
      <x:c r="T33" s="58"/>
      <x:c r="U33" s="57" t="str">
        <x:f>IF(OR(A33="",X33&lt;&gt;"",J33="Cancelado"),"",S33*T33)</x:f>
      </x:c>
      <x:c r="V33" s="55" t="str">
        <x:f>IF(A33="","",IF(X33&lt;&gt;"","CORRIGIR DADOS",IF(J33="Cancelado","CANCELADO",IF(OR(J33="Fechado",J33="Resolvido"),"CONCLUÍDO",IF(OR(P33="ATRASADO",U33&gt;=Listas!$B$16),"ESCALAR",IF(AND(M33="ATRASADO",L33=""),"RESPONDER AGORA",IF(R33&gt;=Listas!$B$14,"REVISAR BACKLOG","ACOMPANHAR")))))))</x:f>
      </x:c>
      <x:c r="W33" s="28"/>
      <x:c r="X33" s="194" t="str">
        <x:f>IF(COUNTA(A33:J33,L33,O33,S33:T33,W33)=0,"",IF(OR(NOT(ISNUMBER(Listas!$B$14)),Listas!$B$14&lt;0,NOT(ISNUMBER(Listas!$B$16)),Listas!$B$16&lt;1,COUNT(Listas!$B$6:$C$9)&lt;&gt;8,MIN(Listas!$B$6:$C$9)&lt;=0),"Parâmetros inválidos",IF(A33="","ID ausente",IF(COUNTIFS($A$5:$A$204,A33)&lt;&gt;1,"ID duplicado",IF(OR(NOT(ISNUMBER(B33)),B33&lt;=0),"Abertura inválida",IF(OR(NOT(ISNUMBER(Listas!$B$18)),Listas!$B$18&lt;=0),"Data da análise inválida",IF(B33&gt;Listas!$B$18,"Abertura após análise",IF(COUNTIFS(Listas!$A$6:$A$9,H33)&lt;&gt;1,"Prioridade inválida",IF(COUNTIFS(Equipe!$A$5:$A$12,I33)&lt;&gt;1,"Responsável inválido",IF(COUNTIFS(Listas!$E$6:$E$11,J33)&lt;&gt;1,"Status inválido",IF(AND(L33&lt;&gt;"",OR(NOT(ISNUMBER(L33)),L33&lt;B33,L33&gt;Listas!$B$18)),"Resposta inválida",IF(AND(O33&lt;&gt;"",OR(NOT(ISNUMBER(O33)),O33&lt;B33,O33&gt;Listas!$B$18)),"Resolução inválida",IF(AND(OR(J33="Fechado",J33="Resolvido"),O33=""),"Conclusão sem resolução",IF(OR(NOT(ISNUMBER(S33)),S33&lt;1,S33&gt;5,IF(ISNUMBER(S33),S33&lt;&gt;INT(S33),FALSE),NOT(ISNUMBER(T33)),T33&lt;1,T33&gt;5,IF(ISNUMBER(T33),T33&lt;&gt;INT(T33),FALSE)),"Impacto ou urgência inválido",""))))))))))))))</x:f>
      </x:c>
      <x:c r="Y33" s="194" t="n">
        <x:f>IF(AND(COUNTA(A33:J33,L33,O33,S33:T33,W33)&gt;0,OR(Listas!$B$20="Todos",I33=Listas!$B$20)),1,0)</x:f>
        <x:v>0</x:v>
      </x:c>
      <x:c r="Z33" s="194" t="n">
        <x:f>IF(AND(Y33=1,X33="",J33&lt;&gt;"Cancelado",NOT(OR(J33="Fechado",J33="Resolvido"))),1,0)</x:f>
        <x:v>0</x:v>
      </x:c>
      <x:c r="AA33" s="194" t="n">
        <x:f>IF(AND(Y33=1,X33="",OR(J33="Fechado",J33="Resolvido")),1,0)</x:f>
        <x:v>0</x:v>
      </x:c>
      <x:c r="AB33" s="194" t="n">
        <x:f>IF(Y33=0,0,IF(X33&lt;&gt;"",1,IF(Z33=0,0,IF(P33="ATRASADO",2,IF(AND(M33="ATRASADO",L33=""),3,IF(V33="ESCALAR",4,IF(V33="REVISAR BACKLOG",5,0)))))))</x:f>
        <x:v>0</x:v>
      </x:c>
      <x:c r="AC33" s="194" t="str">
        <x:f>IF(AB33=0,"",COUNTIFS($AB$5:$AB$204,"&gt;0",$AB$5:$AB$204,"&lt;"&amp;AB33)+COUNTIFS($AB$5:AB33,AB33))</x:f>
      </x:c>
      <x:c r="AD33" s="194" t="n">
        <x:f>IF(AND(A33&lt;&gt;"",X33=""),1,0)</x:f>
        <x:v>0</x:v>
      </x:c>
      <x:c r="AE33" s="194" t="n">
        <x:f>IF(AND(Y33=1,X33&lt;&gt;""),1,0)</x:f>
        <x:v>0</x:v>
      </x:c>
      <x:c r="AF33" s="194" t="n">
        <x:f>IF(L33="",1,0)</x:f>
        <x:v>1</x:v>
      </x:c>
    </x:row>
    <x:row r="34">
      <x:c r="A34" s="28"/>
      <x:c r="B34" s="41"/>
      <x:c r="C34" s="28"/>
      <x:c r="D34" s="28"/>
      <x:c r="E34" s="28"/>
      <x:c r="F34" s="28"/>
      <x:c r="G34" s="28"/>
      <x:c r="H34" s="28"/>
      <x:c r="I34" s="28"/>
      <x:c r="J34" s="28"/>
      <x:c r="K34" s="54" t="str">
        <x:f>IF(OR(A34="",X34&lt;&gt;""),"",B34+INDEX(Listas!$B$6:$B$9,MATCH(H34,Listas!$A$6:$A$9,0))/24)</x:f>
      </x:c>
      <x:c r="L34" s="41"/>
      <x:c r="M34" s="55" t="str">
        <x:f>IF(A34="","",IF(X34&lt;&gt;"","DADO PENDENTE",IF(J34="Cancelado","N.A.",IF(L34&lt;&gt;"",IF(L34&lt;=K34,"ATENDIDO","ATRASADO"),IF(OR(J34="Fechado",J34="Resolvido"),"SEM EVIDÊNCIA",IF(Listas!$B$18&gt;K34,"ATRASADO","PENDENTE"))))))</x:f>
      </x:c>
      <x:c r="N34" s="54" t="str">
        <x:f>IF(OR(A34="",X34&lt;&gt;""),"",B34+INDEX(Listas!$C$6:$C$9,MATCH(H34,Listas!$A$6:$A$9,0))/24)</x:f>
      </x:c>
      <x:c r="O34" s="41"/>
      <x:c r="P34" s="55" t="str">
        <x:f>IF(A34="","",IF(X34&lt;&gt;"","DADO PENDENTE",IF(J34="Cancelado","N.A.",IF(OR(J34="Fechado",J34="Resolvido"),IF(O34&lt;=N34,"ATENDIDO","ATRASADO"),IF(Listas!$B$18&gt;N34,"ATRASADO","PENDENTE")))))</x:f>
      </x:c>
      <x:c r="Q34" s="56" t="str">
        <x:f>IF(OR(A34="",X34&lt;&gt;"",J34="Cancelado"),"",24*IF(OR(J34="Fechado",J34="Resolvido"),O34-B34,Listas!$B$18-B34))</x:f>
      </x:c>
      <x:c r="R34" s="57" t="str">
        <x:f>IF(OR(A34="",X34&lt;&gt;"",J34="Cancelado"),"",INT(IF(OR(J34="Fechado",J34="Resolvido"),O34-B34,Listas!$B$18-B34)))</x:f>
      </x:c>
      <x:c r="S34" s="58"/>
      <x:c r="T34" s="58"/>
      <x:c r="U34" s="57" t="str">
        <x:f>IF(OR(A34="",X34&lt;&gt;"",J34="Cancelado"),"",S34*T34)</x:f>
      </x:c>
      <x:c r="V34" s="55" t="str">
        <x:f>IF(A34="","",IF(X34&lt;&gt;"","CORRIGIR DADOS",IF(J34="Cancelado","CANCELADO",IF(OR(J34="Fechado",J34="Resolvido"),"CONCLUÍDO",IF(OR(P34="ATRASADO",U34&gt;=Listas!$B$16),"ESCALAR",IF(AND(M34="ATRASADO",L34=""),"RESPONDER AGORA",IF(R34&gt;=Listas!$B$14,"REVISAR BACKLOG","ACOMPANHAR")))))))</x:f>
      </x:c>
      <x:c r="W34" s="28"/>
      <x:c r="X34" s="194" t="str">
        <x:f>IF(COUNTA(A34:J34,L34,O34,S34:T34,W34)=0,"",IF(OR(NOT(ISNUMBER(Listas!$B$14)),Listas!$B$14&lt;0,NOT(ISNUMBER(Listas!$B$16)),Listas!$B$16&lt;1,COUNT(Listas!$B$6:$C$9)&lt;&gt;8,MIN(Listas!$B$6:$C$9)&lt;=0),"Parâmetros inválidos",IF(A34="","ID ausente",IF(COUNTIFS($A$5:$A$204,A34)&lt;&gt;1,"ID duplicado",IF(OR(NOT(ISNUMBER(B34)),B34&lt;=0),"Abertura inválida",IF(OR(NOT(ISNUMBER(Listas!$B$18)),Listas!$B$18&lt;=0),"Data da análise inválida",IF(B34&gt;Listas!$B$18,"Abertura após análise",IF(COUNTIFS(Listas!$A$6:$A$9,H34)&lt;&gt;1,"Prioridade inválida",IF(COUNTIFS(Equipe!$A$5:$A$12,I34)&lt;&gt;1,"Responsável inválido",IF(COUNTIFS(Listas!$E$6:$E$11,J34)&lt;&gt;1,"Status inválido",IF(AND(L34&lt;&gt;"",OR(NOT(ISNUMBER(L34)),L34&lt;B34,L34&gt;Listas!$B$18)),"Resposta inválida",IF(AND(O34&lt;&gt;"",OR(NOT(ISNUMBER(O34)),O34&lt;B34,O34&gt;Listas!$B$18)),"Resolução inválida",IF(AND(OR(J34="Fechado",J34="Resolvido"),O34=""),"Conclusão sem resolução",IF(OR(NOT(ISNUMBER(S34)),S34&lt;1,S34&gt;5,IF(ISNUMBER(S34),S34&lt;&gt;INT(S34),FALSE),NOT(ISNUMBER(T34)),T34&lt;1,T34&gt;5,IF(ISNUMBER(T34),T34&lt;&gt;INT(T34),FALSE)),"Impacto ou urgência inválido",""))))))))))))))</x:f>
      </x:c>
      <x:c r="Y34" s="194" t="n">
        <x:f>IF(AND(COUNTA(A34:J34,L34,O34,S34:T34,W34)&gt;0,OR(Listas!$B$20="Todos",I34=Listas!$B$20)),1,0)</x:f>
        <x:v>0</x:v>
      </x:c>
      <x:c r="Z34" s="194" t="n">
        <x:f>IF(AND(Y34=1,X34="",J34&lt;&gt;"Cancelado",NOT(OR(J34="Fechado",J34="Resolvido"))),1,0)</x:f>
        <x:v>0</x:v>
      </x:c>
      <x:c r="AA34" s="194" t="n">
        <x:f>IF(AND(Y34=1,X34="",OR(J34="Fechado",J34="Resolvido")),1,0)</x:f>
        <x:v>0</x:v>
      </x:c>
      <x:c r="AB34" s="194" t="n">
        <x:f>IF(Y34=0,0,IF(X34&lt;&gt;"",1,IF(Z34=0,0,IF(P34="ATRASADO",2,IF(AND(M34="ATRASADO",L34=""),3,IF(V34="ESCALAR",4,IF(V34="REVISAR BACKLOG",5,0)))))))</x:f>
        <x:v>0</x:v>
      </x:c>
      <x:c r="AC34" s="194" t="str">
        <x:f>IF(AB34=0,"",COUNTIFS($AB$5:$AB$204,"&gt;0",$AB$5:$AB$204,"&lt;"&amp;AB34)+COUNTIFS($AB$5:AB34,AB34))</x:f>
      </x:c>
      <x:c r="AD34" s="194" t="n">
        <x:f>IF(AND(A34&lt;&gt;"",X34=""),1,0)</x:f>
        <x:v>0</x:v>
      </x:c>
      <x:c r="AE34" s="194" t="n">
        <x:f>IF(AND(Y34=1,X34&lt;&gt;""),1,0)</x:f>
        <x:v>0</x:v>
      </x:c>
      <x:c r="AF34" s="194" t="n">
        <x:f>IF(L34="",1,0)</x:f>
        <x:v>1</x:v>
      </x:c>
    </x:row>
    <x:row r="35">
      <x:c r="A35" s="28"/>
      <x:c r="B35" s="41"/>
      <x:c r="C35" s="28"/>
      <x:c r="D35" s="28"/>
      <x:c r="E35" s="28"/>
      <x:c r="F35" s="28"/>
      <x:c r="G35" s="28"/>
      <x:c r="H35" s="28"/>
      <x:c r="I35" s="28"/>
      <x:c r="J35" s="28"/>
      <x:c r="K35" s="54" t="str">
        <x:f>IF(OR(A35="",X35&lt;&gt;""),"",B35+INDEX(Listas!$B$6:$B$9,MATCH(H35,Listas!$A$6:$A$9,0))/24)</x:f>
      </x:c>
      <x:c r="L35" s="41"/>
      <x:c r="M35" s="55" t="str">
        <x:f>IF(A35="","",IF(X35&lt;&gt;"","DADO PENDENTE",IF(J35="Cancelado","N.A.",IF(L35&lt;&gt;"",IF(L35&lt;=K35,"ATENDIDO","ATRASADO"),IF(OR(J35="Fechado",J35="Resolvido"),"SEM EVIDÊNCIA",IF(Listas!$B$18&gt;K35,"ATRASADO","PENDENTE"))))))</x:f>
      </x:c>
      <x:c r="N35" s="54" t="str">
        <x:f>IF(OR(A35="",X35&lt;&gt;""),"",B35+INDEX(Listas!$C$6:$C$9,MATCH(H35,Listas!$A$6:$A$9,0))/24)</x:f>
      </x:c>
      <x:c r="O35" s="41"/>
      <x:c r="P35" s="55" t="str">
        <x:f>IF(A35="","",IF(X35&lt;&gt;"","DADO PENDENTE",IF(J35="Cancelado","N.A.",IF(OR(J35="Fechado",J35="Resolvido"),IF(O35&lt;=N35,"ATENDIDO","ATRASADO"),IF(Listas!$B$18&gt;N35,"ATRASADO","PENDENTE")))))</x:f>
      </x:c>
      <x:c r="Q35" s="56" t="str">
        <x:f>IF(OR(A35="",X35&lt;&gt;"",J35="Cancelado"),"",24*IF(OR(J35="Fechado",J35="Resolvido"),O35-B35,Listas!$B$18-B35))</x:f>
      </x:c>
      <x:c r="R35" s="57" t="str">
        <x:f>IF(OR(A35="",X35&lt;&gt;"",J35="Cancelado"),"",INT(IF(OR(J35="Fechado",J35="Resolvido"),O35-B35,Listas!$B$18-B35)))</x:f>
      </x:c>
      <x:c r="S35" s="58"/>
      <x:c r="T35" s="58"/>
      <x:c r="U35" s="57" t="str">
        <x:f>IF(OR(A35="",X35&lt;&gt;"",J35="Cancelado"),"",S35*T35)</x:f>
      </x:c>
      <x:c r="V35" s="55" t="str">
        <x:f>IF(A35="","",IF(X35&lt;&gt;"","CORRIGIR DADOS",IF(J35="Cancelado","CANCELADO",IF(OR(J35="Fechado",J35="Resolvido"),"CONCLUÍDO",IF(OR(P35="ATRASADO",U35&gt;=Listas!$B$16),"ESCALAR",IF(AND(M35="ATRASADO",L35=""),"RESPONDER AGORA",IF(R35&gt;=Listas!$B$14,"REVISAR BACKLOG","ACOMPANHAR")))))))</x:f>
      </x:c>
      <x:c r="W35" s="28"/>
      <x:c r="X35" s="194" t="str">
        <x:f>IF(COUNTA(A35:J35,L35,O35,S35:T35,W35)=0,"",IF(OR(NOT(ISNUMBER(Listas!$B$14)),Listas!$B$14&lt;0,NOT(ISNUMBER(Listas!$B$16)),Listas!$B$16&lt;1,COUNT(Listas!$B$6:$C$9)&lt;&gt;8,MIN(Listas!$B$6:$C$9)&lt;=0),"Parâmetros inválidos",IF(A35="","ID ausente",IF(COUNTIFS($A$5:$A$204,A35)&lt;&gt;1,"ID duplicado",IF(OR(NOT(ISNUMBER(B35)),B35&lt;=0),"Abertura inválida",IF(OR(NOT(ISNUMBER(Listas!$B$18)),Listas!$B$18&lt;=0),"Data da análise inválida",IF(B35&gt;Listas!$B$18,"Abertura após análise",IF(COUNTIFS(Listas!$A$6:$A$9,H35)&lt;&gt;1,"Prioridade inválida",IF(COUNTIFS(Equipe!$A$5:$A$12,I35)&lt;&gt;1,"Responsável inválido",IF(COUNTIFS(Listas!$E$6:$E$11,J35)&lt;&gt;1,"Status inválido",IF(AND(L35&lt;&gt;"",OR(NOT(ISNUMBER(L35)),L35&lt;B35,L35&gt;Listas!$B$18)),"Resposta inválida",IF(AND(O35&lt;&gt;"",OR(NOT(ISNUMBER(O35)),O35&lt;B35,O35&gt;Listas!$B$18)),"Resolução inválida",IF(AND(OR(J35="Fechado",J35="Resolvido"),O35=""),"Conclusão sem resolução",IF(OR(NOT(ISNUMBER(S35)),S35&lt;1,S35&gt;5,IF(ISNUMBER(S35),S35&lt;&gt;INT(S35),FALSE),NOT(ISNUMBER(T35)),T35&lt;1,T35&gt;5,IF(ISNUMBER(T35),T35&lt;&gt;INT(T35),FALSE)),"Impacto ou urgência inválido",""))))))))))))))</x:f>
      </x:c>
      <x:c r="Y35" s="194" t="n">
        <x:f>IF(AND(COUNTA(A35:J35,L35,O35,S35:T35,W35)&gt;0,OR(Listas!$B$20="Todos",I35=Listas!$B$20)),1,0)</x:f>
        <x:v>0</x:v>
      </x:c>
      <x:c r="Z35" s="194" t="n">
        <x:f>IF(AND(Y35=1,X35="",J35&lt;&gt;"Cancelado",NOT(OR(J35="Fechado",J35="Resolvido"))),1,0)</x:f>
        <x:v>0</x:v>
      </x:c>
      <x:c r="AA35" s="194" t="n">
        <x:f>IF(AND(Y35=1,X35="",OR(J35="Fechado",J35="Resolvido")),1,0)</x:f>
        <x:v>0</x:v>
      </x:c>
      <x:c r="AB35" s="194" t="n">
        <x:f>IF(Y35=0,0,IF(X35&lt;&gt;"",1,IF(Z35=0,0,IF(P35="ATRASADO",2,IF(AND(M35="ATRASADO",L35=""),3,IF(V35="ESCALAR",4,IF(V35="REVISAR BACKLOG",5,0)))))))</x:f>
        <x:v>0</x:v>
      </x:c>
      <x:c r="AC35" s="194" t="str">
        <x:f>IF(AB35=0,"",COUNTIFS($AB$5:$AB$204,"&gt;0",$AB$5:$AB$204,"&lt;"&amp;AB35)+COUNTIFS($AB$5:AB35,AB35))</x:f>
      </x:c>
      <x:c r="AD35" s="194" t="n">
        <x:f>IF(AND(A35&lt;&gt;"",X35=""),1,0)</x:f>
        <x:v>0</x:v>
      </x:c>
      <x:c r="AE35" s="194" t="n">
        <x:f>IF(AND(Y35=1,X35&lt;&gt;""),1,0)</x:f>
        <x:v>0</x:v>
      </x:c>
      <x:c r="AF35" s="194" t="n">
        <x:f>IF(L35="",1,0)</x:f>
        <x:v>1</x:v>
      </x:c>
    </x:row>
    <x:row r="36">
      <x:c r="A36" s="28"/>
      <x:c r="B36" s="41"/>
      <x:c r="C36" s="28"/>
      <x:c r="D36" s="28"/>
      <x:c r="E36" s="28"/>
      <x:c r="F36" s="28"/>
      <x:c r="G36" s="28"/>
      <x:c r="H36" s="28"/>
      <x:c r="I36" s="28"/>
      <x:c r="J36" s="28"/>
      <x:c r="K36" s="54" t="str">
        <x:f>IF(OR(A36="",X36&lt;&gt;""),"",B36+INDEX(Listas!$B$6:$B$9,MATCH(H36,Listas!$A$6:$A$9,0))/24)</x:f>
      </x:c>
      <x:c r="L36" s="41"/>
      <x:c r="M36" s="55" t="str">
        <x:f>IF(A36="","",IF(X36&lt;&gt;"","DADO PENDENTE",IF(J36="Cancelado","N.A.",IF(L36&lt;&gt;"",IF(L36&lt;=K36,"ATENDIDO","ATRASADO"),IF(OR(J36="Fechado",J36="Resolvido"),"SEM EVIDÊNCIA",IF(Listas!$B$18&gt;K36,"ATRASADO","PENDENTE"))))))</x:f>
      </x:c>
      <x:c r="N36" s="54" t="str">
        <x:f>IF(OR(A36="",X36&lt;&gt;""),"",B36+INDEX(Listas!$C$6:$C$9,MATCH(H36,Listas!$A$6:$A$9,0))/24)</x:f>
      </x:c>
      <x:c r="O36" s="41"/>
      <x:c r="P36" s="55" t="str">
        <x:f>IF(A36="","",IF(X36&lt;&gt;"","DADO PENDENTE",IF(J36="Cancelado","N.A.",IF(OR(J36="Fechado",J36="Resolvido"),IF(O36&lt;=N36,"ATENDIDO","ATRASADO"),IF(Listas!$B$18&gt;N36,"ATRASADO","PENDENTE")))))</x:f>
      </x:c>
      <x:c r="Q36" s="56" t="str">
        <x:f>IF(OR(A36="",X36&lt;&gt;"",J36="Cancelado"),"",24*IF(OR(J36="Fechado",J36="Resolvido"),O36-B36,Listas!$B$18-B36))</x:f>
      </x:c>
      <x:c r="R36" s="57" t="str">
        <x:f>IF(OR(A36="",X36&lt;&gt;"",J36="Cancelado"),"",INT(IF(OR(J36="Fechado",J36="Resolvido"),O36-B36,Listas!$B$18-B36)))</x:f>
      </x:c>
      <x:c r="S36" s="58"/>
      <x:c r="T36" s="58"/>
      <x:c r="U36" s="57" t="str">
        <x:f>IF(OR(A36="",X36&lt;&gt;"",J36="Cancelado"),"",S36*T36)</x:f>
      </x:c>
      <x:c r="V36" s="55" t="str">
        <x:f>IF(A36="","",IF(X36&lt;&gt;"","CORRIGIR DADOS",IF(J36="Cancelado","CANCELADO",IF(OR(J36="Fechado",J36="Resolvido"),"CONCLUÍDO",IF(OR(P36="ATRASADO",U36&gt;=Listas!$B$16),"ESCALAR",IF(AND(M36="ATRASADO",L36=""),"RESPONDER AGORA",IF(R36&gt;=Listas!$B$14,"REVISAR BACKLOG","ACOMPANHAR")))))))</x:f>
      </x:c>
      <x:c r="W36" s="28"/>
      <x:c r="X36" s="194" t="str">
        <x:f>IF(COUNTA(A36:J36,L36,O36,S36:T36,W36)=0,"",IF(OR(NOT(ISNUMBER(Listas!$B$14)),Listas!$B$14&lt;0,NOT(ISNUMBER(Listas!$B$16)),Listas!$B$16&lt;1,COUNT(Listas!$B$6:$C$9)&lt;&gt;8,MIN(Listas!$B$6:$C$9)&lt;=0),"Parâmetros inválidos",IF(A36="","ID ausente",IF(COUNTIFS($A$5:$A$204,A36)&lt;&gt;1,"ID duplicado",IF(OR(NOT(ISNUMBER(B36)),B36&lt;=0),"Abertura inválida",IF(OR(NOT(ISNUMBER(Listas!$B$18)),Listas!$B$18&lt;=0),"Data da análise inválida",IF(B36&gt;Listas!$B$18,"Abertura após análise",IF(COUNTIFS(Listas!$A$6:$A$9,H36)&lt;&gt;1,"Prioridade inválida",IF(COUNTIFS(Equipe!$A$5:$A$12,I36)&lt;&gt;1,"Responsável inválido",IF(COUNTIFS(Listas!$E$6:$E$11,J36)&lt;&gt;1,"Status inválido",IF(AND(L36&lt;&gt;"",OR(NOT(ISNUMBER(L36)),L36&lt;B36,L36&gt;Listas!$B$18)),"Resposta inválida",IF(AND(O36&lt;&gt;"",OR(NOT(ISNUMBER(O36)),O36&lt;B36,O36&gt;Listas!$B$18)),"Resolução inválida",IF(AND(OR(J36="Fechado",J36="Resolvido"),O36=""),"Conclusão sem resolução",IF(OR(NOT(ISNUMBER(S36)),S36&lt;1,S36&gt;5,IF(ISNUMBER(S36),S36&lt;&gt;INT(S36),FALSE),NOT(ISNUMBER(T36)),T36&lt;1,T36&gt;5,IF(ISNUMBER(T36),T36&lt;&gt;INT(T36),FALSE)),"Impacto ou urgência inválido",""))))))))))))))</x:f>
      </x:c>
      <x:c r="Y36" s="194" t="n">
        <x:f>IF(AND(COUNTA(A36:J36,L36,O36,S36:T36,W36)&gt;0,OR(Listas!$B$20="Todos",I36=Listas!$B$20)),1,0)</x:f>
        <x:v>0</x:v>
      </x:c>
      <x:c r="Z36" s="194" t="n">
        <x:f>IF(AND(Y36=1,X36="",J36&lt;&gt;"Cancelado",NOT(OR(J36="Fechado",J36="Resolvido"))),1,0)</x:f>
        <x:v>0</x:v>
      </x:c>
      <x:c r="AA36" s="194" t="n">
        <x:f>IF(AND(Y36=1,X36="",OR(J36="Fechado",J36="Resolvido")),1,0)</x:f>
        <x:v>0</x:v>
      </x:c>
      <x:c r="AB36" s="194" t="n">
        <x:f>IF(Y36=0,0,IF(X36&lt;&gt;"",1,IF(Z36=0,0,IF(P36="ATRASADO",2,IF(AND(M36="ATRASADO",L36=""),3,IF(V36="ESCALAR",4,IF(V36="REVISAR BACKLOG",5,0)))))))</x:f>
        <x:v>0</x:v>
      </x:c>
      <x:c r="AC36" s="194" t="str">
        <x:f>IF(AB36=0,"",COUNTIFS($AB$5:$AB$204,"&gt;0",$AB$5:$AB$204,"&lt;"&amp;AB36)+COUNTIFS($AB$5:AB36,AB36))</x:f>
      </x:c>
      <x:c r="AD36" s="194" t="n">
        <x:f>IF(AND(A36&lt;&gt;"",X36=""),1,0)</x:f>
        <x:v>0</x:v>
      </x:c>
      <x:c r="AE36" s="194" t="n">
        <x:f>IF(AND(Y36=1,X36&lt;&gt;""),1,0)</x:f>
        <x:v>0</x:v>
      </x:c>
      <x:c r="AF36" s="194" t="n">
        <x:f>IF(L36="",1,0)</x:f>
        <x:v>1</x:v>
      </x:c>
    </x:row>
    <x:row r="37">
      <x:c r="A37" s="28"/>
      <x:c r="B37" s="41"/>
      <x:c r="C37" s="28"/>
      <x:c r="D37" s="28"/>
      <x:c r="E37" s="28"/>
      <x:c r="F37" s="28"/>
      <x:c r="G37" s="28"/>
      <x:c r="H37" s="28"/>
      <x:c r="I37" s="28"/>
      <x:c r="J37" s="28"/>
      <x:c r="K37" s="54" t="str">
        <x:f>IF(OR(A37="",X37&lt;&gt;""),"",B37+INDEX(Listas!$B$6:$B$9,MATCH(H37,Listas!$A$6:$A$9,0))/24)</x:f>
      </x:c>
      <x:c r="L37" s="41"/>
      <x:c r="M37" s="55" t="str">
        <x:f>IF(A37="","",IF(X37&lt;&gt;"","DADO PENDENTE",IF(J37="Cancelado","N.A.",IF(L37&lt;&gt;"",IF(L37&lt;=K37,"ATENDIDO","ATRASADO"),IF(OR(J37="Fechado",J37="Resolvido"),"SEM EVIDÊNCIA",IF(Listas!$B$18&gt;K37,"ATRASADO","PENDENTE"))))))</x:f>
      </x:c>
      <x:c r="N37" s="54" t="str">
        <x:f>IF(OR(A37="",X37&lt;&gt;""),"",B37+INDEX(Listas!$C$6:$C$9,MATCH(H37,Listas!$A$6:$A$9,0))/24)</x:f>
      </x:c>
      <x:c r="O37" s="41"/>
      <x:c r="P37" s="55" t="str">
        <x:f>IF(A37="","",IF(X37&lt;&gt;"","DADO PENDENTE",IF(J37="Cancelado","N.A.",IF(OR(J37="Fechado",J37="Resolvido"),IF(O37&lt;=N37,"ATENDIDO","ATRASADO"),IF(Listas!$B$18&gt;N37,"ATRASADO","PENDENTE")))))</x:f>
      </x:c>
      <x:c r="Q37" s="56" t="str">
        <x:f>IF(OR(A37="",X37&lt;&gt;"",J37="Cancelado"),"",24*IF(OR(J37="Fechado",J37="Resolvido"),O37-B37,Listas!$B$18-B37))</x:f>
      </x:c>
      <x:c r="R37" s="57" t="str">
        <x:f>IF(OR(A37="",X37&lt;&gt;"",J37="Cancelado"),"",INT(IF(OR(J37="Fechado",J37="Resolvido"),O37-B37,Listas!$B$18-B37)))</x:f>
      </x:c>
      <x:c r="S37" s="58"/>
      <x:c r="T37" s="58"/>
      <x:c r="U37" s="57" t="str">
        <x:f>IF(OR(A37="",X37&lt;&gt;"",J37="Cancelado"),"",S37*T37)</x:f>
      </x:c>
      <x:c r="V37" s="55" t="str">
        <x:f>IF(A37="","",IF(X37&lt;&gt;"","CORRIGIR DADOS",IF(J37="Cancelado","CANCELADO",IF(OR(J37="Fechado",J37="Resolvido"),"CONCLUÍDO",IF(OR(P37="ATRASADO",U37&gt;=Listas!$B$16),"ESCALAR",IF(AND(M37="ATRASADO",L37=""),"RESPONDER AGORA",IF(R37&gt;=Listas!$B$14,"REVISAR BACKLOG","ACOMPANHAR")))))))</x:f>
      </x:c>
      <x:c r="W37" s="28"/>
      <x:c r="X37" s="194" t="str">
        <x:f>IF(COUNTA(A37:J37,L37,O37,S37:T37,W37)=0,"",IF(OR(NOT(ISNUMBER(Listas!$B$14)),Listas!$B$14&lt;0,NOT(ISNUMBER(Listas!$B$16)),Listas!$B$16&lt;1,COUNT(Listas!$B$6:$C$9)&lt;&gt;8,MIN(Listas!$B$6:$C$9)&lt;=0),"Parâmetros inválidos",IF(A37="","ID ausente",IF(COUNTIFS($A$5:$A$204,A37)&lt;&gt;1,"ID duplicado",IF(OR(NOT(ISNUMBER(B37)),B37&lt;=0),"Abertura inválida",IF(OR(NOT(ISNUMBER(Listas!$B$18)),Listas!$B$18&lt;=0),"Data da análise inválida",IF(B37&gt;Listas!$B$18,"Abertura após análise",IF(COUNTIFS(Listas!$A$6:$A$9,H37)&lt;&gt;1,"Prioridade inválida",IF(COUNTIFS(Equipe!$A$5:$A$12,I37)&lt;&gt;1,"Responsável inválido",IF(COUNTIFS(Listas!$E$6:$E$11,J37)&lt;&gt;1,"Status inválido",IF(AND(L37&lt;&gt;"",OR(NOT(ISNUMBER(L37)),L37&lt;B37,L37&gt;Listas!$B$18)),"Resposta inválida",IF(AND(O37&lt;&gt;"",OR(NOT(ISNUMBER(O37)),O37&lt;B37,O37&gt;Listas!$B$18)),"Resolução inválida",IF(AND(OR(J37="Fechado",J37="Resolvido"),O37=""),"Conclusão sem resolução",IF(OR(NOT(ISNUMBER(S37)),S37&lt;1,S37&gt;5,IF(ISNUMBER(S37),S37&lt;&gt;INT(S37),FALSE),NOT(ISNUMBER(T37)),T37&lt;1,T37&gt;5,IF(ISNUMBER(T37),T37&lt;&gt;INT(T37),FALSE)),"Impacto ou urgência inválido",""))))))))))))))</x:f>
      </x:c>
      <x:c r="Y37" s="194" t="n">
        <x:f>IF(AND(COUNTA(A37:J37,L37,O37,S37:T37,W37)&gt;0,OR(Listas!$B$20="Todos",I37=Listas!$B$20)),1,0)</x:f>
        <x:v>0</x:v>
      </x:c>
      <x:c r="Z37" s="194" t="n">
        <x:f>IF(AND(Y37=1,X37="",J37&lt;&gt;"Cancelado",NOT(OR(J37="Fechado",J37="Resolvido"))),1,0)</x:f>
        <x:v>0</x:v>
      </x:c>
      <x:c r="AA37" s="194" t="n">
        <x:f>IF(AND(Y37=1,X37="",OR(J37="Fechado",J37="Resolvido")),1,0)</x:f>
        <x:v>0</x:v>
      </x:c>
      <x:c r="AB37" s="194" t="n">
        <x:f>IF(Y37=0,0,IF(X37&lt;&gt;"",1,IF(Z37=0,0,IF(P37="ATRASADO",2,IF(AND(M37="ATRASADO",L37=""),3,IF(V37="ESCALAR",4,IF(V37="REVISAR BACKLOG",5,0)))))))</x:f>
        <x:v>0</x:v>
      </x:c>
      <x:c r="AC37" s="194" t="str">
        <x:f>IF(AB37=0,"",COUNTIFS($AB$5:$AB$204,"&gt;0",$AB$5:$AB$204,"&lt;"&amp;AB37)+COUNTIFS($AB$5:AB37,AB37))</x:f>
      </x:c>
      <x:c r="AD37" s="194" t="n">
        <x:f>IF(AND(A37&lt;&gt;"",X37=""),1,0)</x:f>
        <x:v>0</x:v>
      </x:c>
      <x:c r="AE37" s="194" t="n">
        <x:f>IF(AND(Y37=1,X37&lt;&gt;""),1,0)</x:f>
        <x:v>0</x:v>
      </x:c>
      <x:c r="AF37" s="194" t="n">
        <x:f>IF(L37="",1,0)</x:f>
        <x:v>1</x:v>
      </x:c>
    </x:row>
    <x:row r="38">
      <x:c r="A38" s="28"/>
      <x:c r="B38" s="41"/>
      <x:c r="C38" s="28"/>
      <x:c r="D38" s="28"/>
      <x:c r="E38" s="28"/>
      <x:c r="F38" s="28"/>
      <x:c r="G38" s="28"/>
      <x:c r="H38" s="28"/>
      <x:c r="I38" s="28"/>
      <x:c r="J38" s="28"/>
      <x:c r="K38" s="54" t="str">
        <x:f>IF(OR(A38="",X38&lt;&gt;""),"",B38+INDEX(Listas!$B$6:$B$9,MATCH(H38,Listas!$A$6:$A$9,0))/24)</x:f>
      </x:c>
      <x:c r="L38" s="41"/>
      <x:c r="M38" s="55" t="str">
        <x:f>IF(A38="","",IF(X38&lt;&gt;"","DADO PENDENTE",IF(J38="Cancelado","N.A.",IF(L38&lt;&gt;"",IF(L38&lt;=K38,"ATENDIDO","ATRASADO"),IF(OR(J38="Fechado",J38="Resolvido"),"SEM EVIDÊNCIA",IF(Listas!$B$18&gt;K38,"ATRASADO","PENDENTE"))))))</x:f>
      </x:c>
      <x:c r="N38" s="54" t="str">
        <x:f>IF(OR(A38="",X38&lt;&gt;""),"",B38+INDEX(Listas!$C$6:$C$9,MATCH(H38,Listas!$A$6:$A$9,0))/24)</x:f>
      </x:c>
      <x:c r="O38" s="41"/>
      <x:c r="P38" s="55" t="str">
        <x:f>IF(A38="","",IF(X38&lt;&gt;"","DADO PENDENTE",IF(J38="Cancelado","N.A.",IF(OR(J38="Fechado",J38="Resolvido"),IF(O38&lt;=N38,"ATENDIDO","ATRASADO"),IF(Listas!$B$18&gt;N38,"ATRASADO","PENDENTE")))))</x:f>
      </x:c>
      <x:c r="Q38" s="56" t="str">
        <x:f>IF(OR(A38="",X38&lt;&gt;"",J38="Cancelado"),"",24*IF(OR(J38="Fechado",J38="Resolvido"),O38-B38,Listas!$B$18-B38))</x:f>
      </x:c>
      <x:c r="R38" s="57" t="str">
        <x:f>IF(OR(A38="",X38&lt;&gt;"",J38="Cancelado"),"",INT(IF(OR(J38="Fechado",J38="Resolvido"),O38-B38,Listas!$B$18-B38)))</x:f>
      </x:c>
      <x:c r="S38" s="58"/>
      <x:c r="T38" s="58"/>
      <x:c r="U38" s="57" t="str">
        <x:f>IF(OR(A38="",X38&lt;&gt;"",J38="Cancelado"),"",S38*T38)</x:f>
      </x:c>
      <x:c r="V38" s="55" t="str">
        <x:f>IF(A38="","",IF(X38&lt;&gt;"","CORRIGIR DADOS",IF(J38="Cancelado","CANCELADO",IF(OR(J38="Fechado",J38="Resolvido"),"CONCLUÍDO",IF(OR(P38="ATRASADO",U38&gt;=Listas!$B$16),"ESCALAR",IF(AND(M38="ATRASADO",L38=""),"RESPONDER AGORA",IF(R38&gt;=Listas!$B$14,"REVISAR BACKLOG","ACOMPANHAR")))))))</x:f>
      </x:c>
      <x:c r="W38" s="28"/>
      <x:c r="X38" s="194" t="str">
        <x:f>IF(COUNTA(A38:J38,L38,O38,S38:T38,W38)=0,"",IF(OR(NOT(ISNUMBER(Listas!$B$14)),Listas!$B$14&lt;0,NOT(ISNUMBER(Listas!$B$16)),Listas!$B$16&lt;1,COUNT(Listas!$B$6:$C$9)&lt;&gt;8,MIN(Listas!$B$6:$C$9)&lt;=0),"Parâmetros inválidos",IF(A38="","ID ausente",IF(COUNTIFS($A$5:$A$204,A38)&lt;&gt;1,"ID duplicado",IF(OR(NOT(ISNUMBER(B38)),B38&lt;=0),"Abertura inválida",IF(OR(NOT(ISNUMBER(Listas!$B$18)),Listas!$B$18&lt;=0),"Data da análise inválida",IF(B38&gt;Listas!$B$18,"Abertura após análise",IF(COUNTIFS(Listas!$A$6:$A$9,H38)&lt;&gt;1,"Prioridade inválida",IF(COUNTIFS(Equipe!$A$5:$A$12,I38)&lt;&gt;1,"Responsável inválido",IF(COUNTIFS(Listas!$E$6:$E$11,J38)&lt;&gt;1,"Status inválido",IF(AND(L38&lt;&gt;"",OR(NOT(ISNUMBER(L38)),L38&lt;B38,L38&gt;Listas!$B$18)),"Resposta inválida",IF(AND(O38&lt;&gt;"",OR(NOT(ISNUMBER(O38)),O38&lt;B38,O38&gt;Listas!$B$18)),"Resolução inválida",IF(AND(OR(J38="Fechado",J38="Resolvido"),O38=""),"Conclusão sem resolução",IF(OR(NOT(ISNUMBER(S38)),S38&lt;1,S38&gt;5,IF(ISNUMBER(S38),S38&lt;&gt;INT(S38),FALSE),NOT(ISNUMBER(T38)),T38&lt;1,T38&gt;5,IF(ISNUMBER(T38),T38&lt;&gt;INT(T38),FALSE)),"Impacto ou urgência inválido",""))))))))))))))</x:f>
      </x:c>
      <x:c r="Y38" s="194" t="n">
        <x:f>IF(AND(COUNTA(A38:J38,L38,O38,S38:T38,W38)&gt;0,OR(Listas!$B$20="Todos",I38=Listas!$B$20)),1,0)</x:f>
        <x:v>0</x:v>
      </x:c>
      <x:c r="Z38" s="194" t="n">
        <x:f>IF(AND(Y38=1,X38="",J38&lt;&gt;"Cancelado",NOT(OR(J38="Fechado",J38="Resolvido"))),1,0)</x:f>
        <x:v>0</x:v>
      </x:c>
      <x:c r="AA38" s="194" t="n">
        <x:f>IF(AND(Y38=1,X38="",OR(J38="Fechado",J38="Resolvido")),1,0)</x:f>
        <x:v>0</x:v>
      </x:c>
      <x:c r="AB38" s="194" t="n">
        <x:f>IF(Y38=0,0,IF(X38&lt;&gt;"",1,IF(Z38=0,0,IF(P38="ATRASADO",2,IF(AND(M38="ATRASADO",L38=""),3,IF(V38="ESCALAR",4,IF(V38="REVISAR BACKLOG",5,0)))))))</x:f>
        <x:v>0</x:v>
      </x:c>
      <x:c r="AC38" s="194" t="str">
        <x:f>IF(AB38=0,"",COUNTIFS($AB$5:$AB$204,"&gt;0",$AB$5:$AB$204,"&lt;"&amp;AB38)+COUNTIFS($AB$5:AB38,AB38))</x:f>
      </x:c>
      <x:c r="AD38" s="194" t="n">
        <x:f>IF(AND(A38&lt;&gt;"",X38=""),1,0)</x:f>
        <x:v>0</x:v>
      </x:c>
      <x:c r="AE38" s="194" t="n">
        <x:f>IF(AND(Y38=1,X38&lt;&gt;""),1,0)</x:f>
        <x:v>0</x:v>
      </x:c>
      <x:c r="AF38" s="194" t="n">
        <x:f>IF(L38="",1,0)</x:f>
        <x:v>1</x:v>
      </x:c>
    </x:row>
    <x:row r="39">
      <x:c r="A39" s="28"/>
      <x:c r="B39" s="41"/>
      <x:c r="C39" s="28"/>
      <x:c r="D39" s="28"/>
      <x:c r="E39" s="28"/>
      <x:c r="F39" s="28"/>
      <x:c r="G39" s="28"/>
      <x:c r="H39" s="28"/>
      <x:c r="I39" s="28"/>
      <x:c r="J39" s="28"/>
      <x:c r="K39" s="54" t="str">
        <x:f>IF(OR(A39="",X39&lt;&gt;""),"",B39+INDEX(Listas!$B$6:$B$9,MATCH(H39,Listas!$A$6:$A$9,0))/24)</x:f>
      </x:c>
      <x:c r="L39" s="41"/>
      <x:c r="M39" s="55" t="str">
        <x:f>IF(A39="","",IF(X39&lt;&gt;"","DADO PENDENTE",IF(J39="Cancelado","N.A.",IF(L39&lt;&gt;"",IF(L39&lt;=K39,"ATENDIDO","ATRASADO"),IF(OR(J39="Fechado",J39="Resolvido"),"SEM EVIDÊNCIA",IF(Listas!$B$18&gt;K39,"ATRASADO","PENDENTE"))))))</x:f>
      </x:c>
      <x:c r="N39" s="54" t="str">
        <x:f>IF(OR(A39="",X39&lt;&gt;""),"",B39+INDEX(Listas!$C$6:$C$9,MATCH(H39,Listas!$A$6:$A$9,0))/24)</x:f>
      </x:c>
      <x:c r="O39" s="41"/>
      <x:c r="P39" s="55" t="str">
        <x:f>IF(A39="","",IF(X39&lt;&gt;"","DADO PENDENTE",IF(J39="Cancelado","N.A.",IF(OR(J39="Fechado",J39="Resolvido"),IF(O39&lt;=N39,"ATENDIDO","ATRASADO"),IF(Listas!$B$18&gt;N39,"ATRASADO","PENDENTE")))))</x:f>
      </x:c>
      <x:c r="Q39" s="56" t="str">
        <x:f>IF(OR(A39="",X39&lt;&gt;"",J39="Cancelado"),"",24*IF(OR(J39="Fechado",J39="Resolvido"),O39-B39,Listas!$B$18-B39))</x:f>
      </x:c>
      <x:c r="R39" s="57" t="str">
        <x:f>IF(OR(A39="",X39&lt;&gt;"",J39="Cancelado"),"",INT(IF(OR(J39="Fechado",J39="Resolvido"),O39-B39,Listas!$B$18-B39)))</x:f>
      </x:c>
      <x:c r="S39" s="58"/>
      <x:c r="T39" s="58"/>
      <x:c r="U39" s="57" t="str">
        <x:f>IF(OR(A39="",X39&lt;&gt;"",J39="Cancelado"),"",S39*T39)</x:f>
      </x:c>
      <x:c r="V39" s="55" t="str">
        <x:f>IF(A39="","",IF(X39&lt;&gt;"","CORRIGIR DADOS",IF(J39="Cancelado","CANCELADO",IF(OR(J39="Fechado",J39="Resolvido"),"CONCLUÍDO",IF(OR(P39="ATRASADO",U39&gt;=Listas!$B$16),"ESCALAR",IF(AND(M39="ATRASADO",L39=""),"RESPONDER AGORA",IF(R39&gt;=Listas!$B$14,"REVISAR BACKLOG","ACOMPANHAR")))))))</x:f>
      </x:c>
      <x:c r="W39" s="28"/>
      <x:c r="X39" s="194" t="str">
        <x:f>IF(COUNTA(A39:J39,L39,O39,S39:T39,W39)=0,"",IF(OR(NOT(ISNUMBER(Listas!$B$14)),Listas!$B$14&lt;0,NOT(ISNUMBER(Listas!$B$16)),Listas!$B$16&lt;1,COUNT(Listas!$B$6:$C$9)&lt;&gt;8,MIN(Listas!$B$6:$C$9)&lt;=0),"Parâmetros inválidos",IF(A39="","ID ausente",IF(COUNTIFS($A$5:$A$204,A39)&lt;&gt;1,"ID duplicado",IF(OR(NOT(ISNUMBER(B39)),B39&lt;=0),"Abertura inválida",IF(OR(NOT(ISNUMBER(Listas!$B$18)),Listas!$B$18&lt;=0),"Data da análise inválida",IF(B39&gt;Listas!$B$18,"Abertura após análise",IF(COUNTIFS(Listas!$A$6:$A$9,H39)&lt;&gt;1,"Prioridade inválida",IF(COUNTIFS(Equipe!$A$5:$A$12,I39)&lt;&gt;1,"Responsável inválido",IF(COUNTIFS(Listas!$E$6:$E$11,J39)&lt;&gt;1,"Status inválido",IF(AND(L39&lt;&gt;"",OR(NOT(ISNUMBER(L39)),L39&lt;B39,L39&gt;Listas!$B$18)),"Resposta inválida",IF(AND(O39&lt;&gt;"",OR(NOT(ISNUMBER(O39)),O39&lt;B39,O39&gt;Listas!$B$18)),"Resolução inválida",IF(AND(OR(J39="Fechado",J39="Resolvido"),O39=""),"Conclusão sem resolução",IF(OR(NOT(ISNUMBER(S39)),S39&lt;1,S39&gt;5,IF(ISNUMBER(S39),S39&lt;&gt;INT(S39),FALSE),NOT(ISNUMBER(T39)),T39&lt;1,T39&gt;5,IF(ISNUMBER(T39),T39&lt;&gt;INT(T39),FALSE)),"Impacto ou urgência inválido",""))))))))))))))</x:f>
      </x:c>
      <x:c r="Y39" s="194" t="n">
        <x:f>IF(AND(COUNTA(A39:J39,L39,O39,S39:T39,W39)&gt;0,OR(Listas!$B$20="Todos",I39=Listas!$B$20)),1,0)</x:f>
        <x:v>0</x:v>
      </x:c>
      <x:c r="Z39" s="194" t="n">
        <x:f>IF(AND(Y39=1,X39="",J39&lt;&gt;"Cancelado",NOT(OR(J39="Fechado",J39="Resolvido"))),1,0)</x:f>
        <x:v>0</x:v>
      </x:c>
      <x:c r="AA39" s="194" t="n">
        <x:f>IF(AND(Y39=1,X39="",OR(J39="Fechado",J39="Resolvido")),1,0)</x:f>
        <x:v>0</x:v>
      </x:c>
      <x:c r="AB39" s="194" t="n">
        <x:f>IF(Y39=0,0,IF(X39&lt;&gt;"",1,IF(Z39=0,0,IF(P39="ATRASADO",2,IF(AND(M39="ATRASADO",L39=""),3,IF(V39="ESCALAR",4,IF(V39="REVISAR BACKLOG",5,0)))))))</x:f>
        <x:v>0</x:v>
      </x:c>
      <x:c r="AC39" s="194" t="str">
        <x:f>IF(AB39=0,"",COUNTIFS($AB$5:$AB$204,"&gt;0",$AB$5:$AB$204,"&lt;"&amp;AB39)+COUNTIFS($AB$5:AB39,AB39))</x:f>
      </x:c>
      <x:c r="AD39" s="194" t="n">
        <x:f>IF(AND(A39&lt;&gt;"",X39=""),1,0)</x:f>
        <x:v>0</x:v>
      </x:c>
      <x:c r="AE39" s="194" t="n">
        <x:f>IF(AND(Y39=1,X39&lt;&gt;""),1,0)</x:f>
        <x:v>0</x:v>
      </x:c>
      <x:c r="AF39" s="194" t="n">
        <x:f>IF(L39="",1,0)</x:f>
        <x:v>1</x:v>
      </x:c>
    </x:row>
    <x:row r="40">
      <x:c r="A40" s="28"/>
      <x:c r="B40" s="41"/>
      <x:c r="C40" s="28"/>
      <x:c r="D40" s="28"/>
      <x:c r="E40" s="28"/>
      <x:c r="F40" s="28"/>
      <x:c r="G40" s="28"/>
      <x:c r="H40" s="28"/>
      <x:c r="I40" s="28"/>
      <x:c r="J40" s="28"/>
      <x:c r="K40" s="54" t="str">
        <x:f>IF(OR(A40="",X40&lt;&gt;""),"",B40+INDEX(Listas!$B$6:$B$9,MATCH(H40,Listas!$A$6:$A$9,0))/24)</x:f>
      </x:c>
      <x:c r="L40" s="41"/>
      <x:c r="M40" s="55" t="str">
        <x:f>IF(A40="","",IF(X40&lt;&gt;"","DADO PENDENTE",IF(J40="Cancelado","N.A.",IF(L40&lt;&gt;"",IF(L40&lt;=K40,"ATENDIDO","ATRASADO"),IF(OR(J40="Fechado",J40="Resolvido"),"SEM EVIDÊNCIA",IF(Listas!$B$18&gt;K40,"ATRASADO","PENDENTE"))))))</x:f>
      </x:c>
      <x:c r="N40" s="54" t="str">
        <x:f>IF(OR(A40="",X40&lt;&gt;""),"",B40+INDEX(Listas!$C$6:$C$9,MATCH(H40,Listas!$A$6:$A$9,0))/24)</x:f>
      </x:c>
      <x:c r="O40" s="41"/>
      <x:c r="P40" s="55" t="str">
        <x:f>IF(A40="","",IF(X40&lt;&gt;"","DADO PENDENTE",IF(J40="Cancelado","N.A.",IF(OR(J40="Fechado",J40="Resolvido"),IF(O40&lt;=N40,"ATENDIDO","ATRASADO"),IF(Listas!$B$18&gt;N40,"ATRASADO","PENDENTE")))))</x:f>
      </x:c>
      <x:c r="Q40" s="56" t="str">
        <x:f>IF(OR(A40="",X40&lt;&gt;"",J40="Cancelado"),"",24*IF(OR(J40="Fechado",J40="Resolvido"),O40-B40,Listas!$B$18-B40))</x:f>
      </x:c>
      <x:c r="R40" s="57" t="str">
        <x:f>IF(OR(A40="",X40&lt;&gt;"",J40="Cancelado"),"",INT(IF(OR(J40="Fechado",J40="Resolvido"),O40-B40,Listas!$B$18-B40)))</x:f>
      </x:c>
      <x:c r="S40" s="58"/>
      <x:c r="T40" s="58"/>
      <x:c r="U40" s="57" t="str">
        <x:f>IF(OR(A40="",X40&lt;&gt;"",J40="Cancelado"),"",S40*T40)</x:f>
      </x:c>
      <x:c r="V40" s="55" t="str">
        <x:f>IF(A40="","",IF(X40&lt;&gt;"","CORRIGIR DADOS",IF(J40="Cancelado","CANCELADO",IF(OR(J40="Fechado",J40="Resolvido"),"CONCLUÍDO",IF(OR(P40="ATRASADO",U40&gt;=Listas!$B$16),"ESCALAR",IF(AND(M40="ATRASADO",L40=""),"RESPONDER AGORA",IF(R40&gt;=Listas!$B$14,"REVISAR BACKLOG","ACOMPANHAR")))))))</x:f>
      </x:c>
      <x:c r="W40" s="28"/>
      <x:c r="X40" s="194" t="str">
        <x:f>IF(COUNTA(A40:J40,L40,O40,S40:T40,W40)=0,"",IF(OR(NOT(ISNUMBER(Listas!$B$14)),Listas!$B$14&lt;0,NOT(ISNUMBER(Listas!$B$16)),Listas!$B$16&lt;1,COUNT(Listas!$B$6:$C$9)&lt;&gt;8,MIN(Listas!$B$6:$C$9)&lt;=0),"Parâmetros inválidos",IF(A40="","ID ausente",IF(COUNTIFS($A$5:$A$204,A40)&lt;&gt;1,"ID duplicado",IF(OR(NOT(ISNUMBER(B40)),B40&lt;=0),"Abertura inválida",IF(OR(NOT(ISNUMBER(Listas!$B$18)),Listas!$B$18&lt;=0),"Data da análise inválida",IF(B40&gt;Listas!$B$18,"Abertura após análise",IF(COUNTIFS(Listas!$A$6:$A$9,H40)&lt;&gt;1,"Prioridade inválida",IF(COUNTIFS(Equipe!$A$5:$A$12,I40)&lt;&gt;1,"Responsável inválido",IF(COUNTIFS(Listas!$E$6:$E$11,J40)&lt;&gt;1,"Status inválido",IF(AND(L40&lt;&gt;"",OR(NOT(ISNUMBER(L40)),L40&lt;B40,L40&gt;Listas!$B$18)),"Resposta inválida",IF(AND(O40&lt;&gt;"",OR(NOT(ISNUMBER(O40)),O40&lt;B40,O40&gt;Listas!$B$18)),"Resolução inválida",IF(AND(OR(J40="Fechado",J40="Resolvido"),O40=""),"Conclusão sem resolução",IF(OR(NOT(ISNUMBER(S40)),S40&lt;1,S40&gt;5,IF(ISNUMBER(S40),S40&lt;&gt;INT(S40),FALSE),NOT(ISNUMBER(T40)),T40&lt;1,T40&gt;5,IF(ISNUMBER(T40),T40&lt;&gt;INT(T40),FALSE)),"Impacto ou urgência inválido",""))))))))))))))</x:f>
      </x:c>
      <x:c r="Y40" s="194" t="n">
        <x:f>IF(AND(COUNTA(A40:J40,L40,O40,S40:T40,W40)&gt;0,OR(Listas!$B$20="Todos",I40=Listas!$B$20)),1,0)</x:f>
        <x:v>0</x:v>
      </x:c>
      <x:c r="Z40" s="194" t="n">
        <x:f>IF(AND(Y40=1,X40="",J40&lt;&gt;"Cancelado",NOT(OR(J40="Fechado",J40="Resolvido"))),1,0)</x:f>
        <x:v>0</x:v>
      </x:c>
      <x:c r="AA40" s="194" t="n">
        <x:f>IF(AND(Y40=1,X40="",OR(J40="Fechado",J40="Resolvido")),1,0)</x:f>
        <x:v>0</x:v>
      </x:c>
      <x:c r="AB40" s="194" t="n">
        <x:f>IF(Y40=0,0,IF(X40&lt;&gt;"",1,IF(Z40=0,0,IF(P40="ATRASADO",2,IF(AND(M40="ATRASADO",L40=""),3,IF(V40="ESCALAR",4,IF(V40="REVISAR BACKLOG",5,0)))))))</x:f>
        <x:v>0</x:v>
      </x:c>
      <x:c r="AC40" s="194" t="str">
        <x:f>IF(AB40=0,"",COUNTIFS($AB$5:$AB$204,"&gt;0",$AB$5:$AB$204,"&lt;"&amp;AB40)+COUNTIFS($AB$5:AB40,AB40))</x:f>
      </x:c>
      <x:c r="AD40" s="194" t="n">
        <x:f>IF(AND(A40&lt;&gt;"",X40=""),1,0)</x:f>
        <x:v>0</x:v>
      </x:c>
      <x:c r="AE40" s="194" t="n">
        <x:f>IF(AND(Y40=1,X40&lt;&gt;""),1,0)</x:f>
        <x:v>0</x:v>
      </x:c>
      <x:c r="AF40" s="194" t="n">
        <x:f>IF(L40="",1,0)</x:f>
        <x:v>1</x:v>
      </x:c>
    </x:row>
    <x:row r="41">
      <x:c r="A41" s="28"/>
      <x:c r="B41" s="41"/>
      <x:c r="C41" s="28"/>
      <x:c r="D41" s="28"/>
      <x:c r="E41" s="28"/>
      <x:c r="F41" s="28"/>
      <x:c r="G41" s="28"/>
      <x:c r="H41" s="28"/>
      <x:c r="I41" s="28"/>
      <x:c r="J41" s="28"/>
      <x:c r="K41" s="54" t="str">
        <x:f>IF(OR(A41="",X41&lt;&gt;""),"",B41+INDEX(Listas!$B$6:$B$9,MATCH(H41,Listas!$A$6:$A$9,0))/24)</x:f>
      </x:c>
      <x:c r="L41" s="41"/>
      <x:c r="M41" s="55" t="str">
        <x:f>IF(A41="","",IF(X41&lt;&gt;"","DADO PENDENTE",IF(J41="Cancelado","N.A.",IF(L41&lt;&gt;"",IF(L41&lt;=K41,"ATENDIDO","ATRASADO"),IF(OR(J41="Fechado",J41="Resolvido"),"SEM EVIDÊNCIA",IF(Listas!$B$18&gt;K41,"ATRASADO","PENDENTE"))))))</x:f>
      </x:c>
      <x:c r="N41" s="54" t="str">
        <x:f>IF(OR(A41="",X41&lt;&gt;""),"",B41+INDEX(Listas!$C$6:$C$9,MATCH(H41,Listas!$A$6:$A$9,0))/24)</x:f>
      </x:c>
      <x:c r="O41" s="41"/>
      <x:c r="P41" s="55" t="str">
        <x:f>IF(A41="","",IF(X41&lt;&gt;"","DADO PENDENTE",IF(J41="Cancelado","N.A.",IF(OR(J41="Fechado",J41="Resolvido"),IF(O41&lt;=N41,"ATENDIDO","ATRASADO"),IF(Listas!$B$18&gt;N41,"ATRASADO","PENDENTE")))))</x:f>
      </x:c>
      <x:c r="Q41" s="56" t="str">
        <x:f>IF(OR(A41="",X41&lt;&gt;"",J41="Cancelado"),"",24*IF(OR(J41="Fechado",J41="Resolvido"),O41-B41,Listas!$B$18-B41))</x:f>
      </x:c>
      <x:c r="R41" s="57" t="str">
        <x:f>IF(OR(A41="",X41&lt;&gt;"",J41="Cancelado"),"",INT(IF(OR(J41="Fechado",J41="Resolvido"),O41-B41,Listas!$B$18-B41)))</x:f>
      </x:c>
      <x:c r="S41" s="58"/>
      <x:c r="T41" s="58"/>
      <x:c r="U41" s="57" t="str">
        <x:f>IF(OR(A41="",X41&lt;&gt;"",J41="Cancelado"),"",S41*T41)</x:f>
      </x:c>
      <x:c r="V41" s="55" t="str">
        <x:f>IF(A41="","",IF(X41&lt;&gt;"","CORRIGIR DADOS",IF(J41="Cancelado","CANCELADO",IF(OR(J41="Fechado",J41="Resolvido"),"CONCLUÍDO",IF(OR(P41="ATRASADO",U41&gt;=Listas!$B$16),"ESCALAR",IF(AND(M41="ATRASADO",L41=""),"RESPONDER AGORA",IF(R41&gt;=Listas!$B$14,"REVISAR BACKLOG","ACOMPANHAR")))))))</x:f>
      </x:c>
      <x:c r="W41" s="28"/>
      <x:c r="X41" s="194" t="str">
        <x:f>IF(COUNTA(A41:J41,L41,O41,S41:T41,W41)=0,"",IF(OR(NOT(ISNUMBER(Listas!$B$14)),Listas!$B$14&lt;0,NOT(ISNUMBER(Listas!$B$16)),Listas!$B$16&lt;1,COUNT(Listas!$B$6:$C$9)&lt;&gt;8,MIN(Listas!$B$6:$C$9)&lt;=0),"Parâmetros inválidos",IF(A41="","ID ausente",IF(COUNTIFS($A$5:$A$204,A41)&lt;&gt;1,"ID duplicado",IF(OR(NOT(ISNUMBER(B41)),B41&lt;=0),"Abertura inválida",IF(OR(NOT(ISNUMBER(Listas!$B$18)),Listas!$B$18&lt;=0),"Data da análise inválida",IF(B41&gt;Listas!$B$18,"Abertura após análise",IF(COUNTIFS(Listas!$A$6:$A$9,H41)&lt;&gt;1,"Prioridade inválida",IF(COUNTIFS(Equipe!$A$5:$A$12,I41)&lt;&gt;1,"Responsável inválido",IF(COUNTIFS(Listas!$E$6:$E$11,J41)&lt;&gt;1,"Status inválido",IF(AND(L41&lt;&gt;"",OR(NOT(ISNUMBER(L41)),L41&lt;B41,L41&gt;Listas!$B$18)),"Resposta inválida",IF(AND(O41&lt;&gt;"",OR(NOT(ISNUMBER(O41)),O41&lt;B41,O41&gt;Listas!$B$18)),"Resolução inválida",IF(AND(OR(J41="Fechado",J41="Resolvido"),O41=""),"Conclusão sem resolução",IF(OR(NOT(ISNUMBER(S41)),S41&lt;1,S41&gt;5,IF(ISNUMBER(S41),S41&lt;&gt;INT(S41),FALSE),NOT(ISNUMBER(T41)),T41&lt;1,T41&gt;5,IF(ISNUMBER(T41),T41&lt;&gt;INT(T41),FALSE)),"Impacto ou urgência inválido",""))))))))))))))</x:f>
      </x:c>
      <x:c r="Y41" s="194" t="n">
        <x:f>IF(AND(COUNTA(A41:J41,L41,O41,S41:T41,W41)&gt;0,OR(Listas!$B$20="Todos",I41=Listas!$B$20)),1,0)</x:f>
        <x:v>0</x:v>
      </x:c>
      <x:c r="Z41" s="194" t="n">
        <x:f>IF(AND(Y41=1,X41="",J41&lt;&gt;"Cancelado",NOT(OR(J41="Fechado",J41="Resolvido"))),1,0)</x:f>
        <x:v>0</x:v>
      </x:c>
      <x:c r="AA41" s="194" t="n">
        <x:f>IF(AND(Y41=1,X41="",OR(J41="Fechado",J41="Resolvido")),1,0)</x:f>
        <x:v>0</x:v>
      </x:c>
      <x:c r="AB41" s="194" t="n">
        <x:f>IF(Y41=0,0,IF(X41&lt;&gt;"",1,IF(Z41=0,0,IF(P41="ATRASADO",2,IF(AND(M41="ATRASADO",L41=""),3,IF(V41="ESCALAR",4,IF(V41="REVISAR BACKLOG",5,0)))))))</x:f>
        <x:v>0</x:v>
      </x:c>
      <x:c r="AC41" s="194" t="str">
        <x:f>IF(AB41=0,"",COUNTIFS($AB$5:$AB$204,"&gt;0",$AB$5:$AB$204,"&lt;"&amp;AB41)+COUNTIFS($AB$5:AB41,AB41))</x:f>
      </x:c>
      <x:c r="AD41" s="194" t="n">
        <x:f>IF(AND(A41&lt;&gt;"",X41=""),1,0)</x:f>
        <x:v>0</x:v>
      </x:c>
      <x:c r="AE41" s="194" t="n">
        <x:f>IF(AND(Y41=1,X41&lt;&gt;""),1,0)</x:f>
        <x:v>0</x:v>
      </x:c>
      <x:c r="AF41" s="194" t="n">
        <x:f>IF(L41="",1,0)</x:f>
        <x:v>1</x:v>
      </x:c>
    </x:row>
    <x:row r="42">
      <x:c r="A42" s="28"/>
      <x:c r="B42" s="41"/>
      <x:c r="C42" s="28"/>
      <x:c r="D42" s="28"/>
      <x:c r="E42" s="28"/>
      <x:c r="F42" s="28"/>
      <x:c r="G42" s="28"/>
      <x:c r="H42" s="28"/>
      <x:c r="I42" s="28"/>
      <x:c r="J42" s="28"/>
      <x:c r="K42" s="54" t="str">
        <x:f>IF(OR(A42="",X42&lt;&gt;""),"",B42+INDEX(Listas!$B$6:$B$9,MATCH(H42,Listas!$A$6:$A$9,0))/24)</x:f>
      </x:c>
      <x:c r="L42" s="41"/>
      <x:c r="M42" s="55" t="str">
        <x:f>IF(A42="","",IF(X42&lt;&gt;"","DADO PENDENTE",IF(J42="Cancelado","N.A.",IF(L42&lt;&gt;"",IF(L42&lt;=K42,"ATENDIDO","ATRASADO"),IF(OR(J42="Fechado",J42="Resolvido"),"SEM EVIDÊNCIA",IF(Listas!$B$18&gt;K42,"ATRASADO","PENDENTE"))))))</x:f>
      </x:c>
      <x:c r="N42" s="54" t="str">
        <x:f>IF(OR(A42="",X42&lt;&gt;""),"",B42+INDEX(Listas!$C$6:$C$9,MATCH(H42,Listas!$A$6:$A$9,0))/24)</x:f>
      </x:c>
      <x:c r="O42" s="41"/>
      <x:c r="P42" s="55" t="str">
        <x:f>IF(A42="","",IF(X42&lt;&gt;"","DADO PENDENTE",IF(J42="Cancelado","N.A.",IF(OR(J42="Fechado",J42="Resolvido"),IF(O42&lt;=N42,"ATENDIDO","ATRASADO"),IF(Listas!$B$18&gt;N42,"ATRASADO","PENDENTE")))))</x:f>
      </x:c>
      <x:c r="Q42" s="56" t="str">
        <x:f>IF(OR(A42="",X42&lt;&gt;"",J42="Cancelado"),"",24*IF(OR(J42="Fechado",J42="Resolvido"),O42-B42,Listas!$B$18-B42))</x:f>
      </x:c>
      <x:c r="R42" s="57" t="str">
        <x:f>IF(OR(A42="",X42&lt;&gt;"",J42="Cancelado"),"",INT(IF(OR(J42="Fechado",J42="Resolvido"),O42-B42,Listas!$B$18-B42)))</x:f>
      </x:c>
      <x:c r="S42" s="58"/>
      <x:c r="T42" s="58"/>
      <x:c r="U42" s="57" t="str">
        <x:f>IF(OR(A42="",X42&lt;&gt;"",J42="Cancelado"),"",S42*T42)</x:f>
      </x:c>
      <x:c r="V42" s="55" t="str">
        <x:f>IF(A42="","",IF(X42&lt;&gt;"","CORRIGIR DADOS",IF(J42="Cancelado","CANCELADO",IF(OR(J42="Fechado",J42="Resolvido"),"CONCLUÍDO",IF(OR(P42="ATRASADO",U42&gt;=Listas!$B$16),"ESCALAR",IF(AND(M42="ATRASADO",L42=""),"RESPONDER AGORA",IF(R42&gt;=Listas!$B$14,"REVISAR BACKLOG","ACOMPANHAR")))))))</x:f>
      </x:c>
      <x:c r="W42" s="28"/>
      <x:c r="X42" s="194" t="str">
        <x:f>IF(COUNTA(A42:J42,L42,O42,S42:T42,W42)=0,"",IF(OR(NOT(ISNUMBER(Listas!$B$14)),Listas!$B$14&lt;0,NOT(ISNUMBER(Listas!$B$16)),Listas!$B$16&lt;1,COUNT(Listas!$B$6:$C$9)&lt;&gt;8,MIN(Listas!$B$6:$C$9)&lt;=0),"Parâmetros inválidos",IF(A42="","ID ausente",IF(COUNTIFS($A$5:$A$204,A42)&lt;&gt;1,"ID duplicado",IF(OR(NOT(ISNUMBER(B42)),B42&lt;=0),"Abertura inválida",IF(OR(NOT(ISNUMBER(Listas!$B$18)),Listas!$B$18&lt;=0),"Data da análise inválida",IF(B42&gt;Listas!$B$18,"Abertura após análise",IF(COUNTIFS(Listas!$A$6:$A$9,H42)&lt;&gt;1,"Prioridade inválida",IF(COUNTIFS(Equipe!$A$5:$A$12,I42)&lt;&gt;1,"Responsável inválido",IF(COUNTIFS(Listas!$E$6:$E$11,J42)&lt;&gt;1,"Status inválido",IF(AND(L42&lt;&gt;"",OR(NOT(ISNUMBER(L42)),L42&lt;B42,L42&gt;Listas!$B$18)),"Resposta inválida",IF(AND(O42&lt;&gt;"",OR(NOT(ISNUMBER(O42)),O42&lt;B42,O42&gt;Listas!$B$18)),"Resolução inválida",IF(AND(OR(J42="Fechado",J42="Resolvido"),O42=""),"Conclusão sem resolução",IF(OR(NOT(ISNUMBER(S42)),S42&lt;1,S42&gt;5,IF(ISNUMBER(S42),S42&lt;&gt;INT(S42),FALSE),NOT(ISNUMBER(T42)),T42&lt;1,T42&gt;5,IF(ISNUMBER(T42),T42&lt;&gt;INT(T42),FALSE)),"Impacto ou urgência inválido",""))))))))))))))</x:f>
      </x:c>
      <x:c r="Y42" s="194" t="n">
        <x:f>IF(AND(COUNTA(A42:J42,L42,O42,S42:T42,W42)&gt;0,OR(Listas!$B$20="Todos",I42=Listas!$B$20)),1,0)</x:f>
        <x:v>0</x:v>
      </x:c>
      <x:c r="Z42" s="194" t="n">
        <x:f>IF(AND(Y42=1,X42="",J42&lt;&gt;"Cancelado",NOT(OR(J42="Fechado",J42="Resolvido"))),1,0)</x:f>
        <x:v>0</x:v>
      </x:c>
      <x:c r="AA42" s="194" t="n">
        <x:f>IF(AND(Y42=1,X42="",OR(J42="Fechado",J42="Resolvido")),1,0)</x:f>
        <x:v>0</x:v>
      </x:c>
      <x:c r="AB42" s="194" t="n">
        <x:f>IF(Y42=0,0,IF(X42&lt;&gt;"",1,IF(Z42=0,0,IF(P42="ATRASADO",2,IF(AND(M42="ATRASADO",L42=""),3,IF(V42="ESCALAR",4,IF(V42="REVISAR BACKLOG",5,0)))))))</x:f>
        <x:v>0</x:v>
      </x:c>
      <x:c r="AC42" s="194" t="str">
        <x:f>IF(AB42=0,"",COUNTIFS($AB$5:$AB$204,"&gt;0",$AB$5:$AB$204,"&lt;"&amp;AB42)+COUNTIFS($AB$5:AB42,AB42))</x:f>
      </x:c>
      <x:c r="AD42" s="194" t="n">
        <x:f>IF(AND(A42&lt;&gt;"",X42=""),1,0)</x:f>
        <x:v>0</x:v>
      </x:c>
      <x:c r="AE42" s="194" t="n">
        <x:f>IF(AND(Y42=1,X42&lt;&gt;""),1,0)</x:f>
        <x:v>0</x:v>
      </x:c>
      <x:c r="AF42" s="194" t="n">
        <x:f>IF(L42="",1,0)</x:f>
        <x:v>1</x:v>
      </x:c>
    </x:row>
    <x:row r="43">
      <x:c r="A43" s="28"/>
      <x:c r="B43" s="41"/>
      <x:c r="C43" s="28"/>
      <x:c r="D43" s="28"/>
      <x:c r="E43" s="28"/>
      <x:c r="F43" s="28"/>
      <x:c r="G43" s="28"/>
      <x:c r="H43" s="28"/>
      <x:c r="I43" s="28"/>
      <x:c r="J43" s="28"/>
      <x:c r="K43" s="54" t="str">
        <x:f>IF(OR(A43="",X43&lt;&gt;""),"",B43+INDEX(Listas!$B$6:$B$9,MATCH(H43,Listas!$A$6:$A$9,0))/24)</x:f>
      </x:c>
      <x:c r="L43" s="41"/>
      <x:c r="M43" s="55" t="str">
        <x:f>IF(A43="","",IF(X43&lt;&gt;"","DADO PENDENTE",IF(J43="Cancelado","N.A.",IF(L43&lt;&gt;"",IF(L43&lt;=K43,"ATENDIDO","ATRASADO"),IF(OR(J43="Fechado",J43="Resolvido"),"SEM EVIDÊNCIA",IF(Listas!$B$18&gt;K43,"ATRASADO","PENDENTE"))))))</x:f>
      </x:c>
      <x:c r="N43" s="54" t="str">
        <x:f>IF(OR(A43="",X43&lt;&gt;""),"",B43+INDEX(Listas!$C$6:$C$9,MATCH(H43,Listas!$A$6:$A$9,0))/24)</x:f>
      </x:c>
      <x:c r="O43" s="41"/>
      <x:c r="P43" s="55" t="str">
        <x:f>IF(A43="","",IF(X43&lt;&gt;"","DADO PENDENTE",IF(J43="Cancelado","N.A.",IF(OR(J43="Fechado",J43="Resolvido"),IF(O43&lt;=N43,"ATENDIDO","ATRASADO"),IF(Listas!$B$18&gt;N43,"ATRASADO","PENDENTE")))))</x:f>
      </x:c>
      <x:c r="Q43" s="56" t="str">
        <x:f>IF(OR(A43="",X43&lt;&gt;"",J43="Cancelado"),"",24*IF(OR(J43="Fechado",J43="Resolvido"),O43-B43,Listas!$B$18-B43))</x:f>
      </x:c>
      <x:c r="R43" s="57" t="str">
        <x:f>IF(OR(A43="",X43&lt;&gt;"",J43="Cancelado"),"",INT(IF(OR(J43="Fechado",J43="Resolvido"),O43-B43,Listas!$B$18-B43)))</x:f>
      </x:c>
      <x:c r="S43" s="58"/>
      <x:c r="T43" s="58"/>
      <x:c r="U43" s="57" t="str">
        <x:f>IF(OR(A43="",X43&lt;&gt;"",J43="Cancelado"),"",S43*T43)</x:f>
      </x:c>
      <x:c r="V43" s="55" t="str">
        <x:f>IF(A43="","",IF(X43&lt;&gt;"","CORRIGIR DADOS",IF(J43="Cancelado","CANCELADO",IF(OR(J43="Fechado",J43="Resolvido"),"CONCLUÍDO",IF(OR(P43="ATRASADO",U43&gt;=Listas!$B$16),"ESCALAR",IF(AND(M43="ATRASADO",L43=""),"RESPONDER AGORA",IF(R43&gt;=Listas!$B$14,"REVISAR BACKLOG","ACOMPANHAR")))))))</x:f>
      </x:c>
      <x:c r="W43" s="28"/>
      <x:c r="X43" s="194" t="str">
        <x:f>IF(COUNTA(A43:J43,L43,O43,S43:T43,W43)=0,"",IF(OR(NOT(ISNUMBER(Listas!$B$14)),Listas!$B$14&lt;0,NOT(ISNUMBER(Listas!$B$16)),Listas!$B$16&lt;1,COUNT(Listas!$B$6:$C$9)&lt;&gt;8,MIN(Listas!$B$6:$C$9)&lt;=0),"Parâmetros inválidos",IF(A43="","ID ausente",IF(COUNTIFS($A$5:$A$204,A43)&lt;&gt;1,"ID duplicado",IF(OR(NOT(ISNUMBER(B43)),B43&lt;=0),"Abertura inválida",IF(OR(NOT(ISNUMBER(Listas!$B$18)),Listas!$B$18&lt;=0),"Data da análise inválida",IF(B43&gt;Listas!$B$18,"Abertura após análise",IF(COUNTIFS(Listas!$A$6:$A$9,H43)&lt;&gt;1,"Prioridade inválida",IF(COUNTIFS(Equipe!$A$5:$A$12,I43)&lt;&gt;1,"Responsável inválido",IF(COUNTIFS(Listas!$E$6:$E$11,J43)&lt;&gt;1,"Status inválido",IF(AND(L43&lt;&gt;"",OR(NOT(ISNUMBER(L43)),L43&lt;B43,L43&gt;Listas!$B$18)),"Resposta inválida",IF(AND(O43&lt;&gt;"",OR(NOT(ISNUMBER(O43)),O43&lt;B43,O43&gt;Listas!$B$18)),"Resolução inválida",IF(AND(OR(J43="Fechado",J43="Resolvido"),O43=""),"Conclusão sem resolução",IF(OR(NOT(ISNUMBER(S43)),S43&lt;1,S43&gt;5,IF(ISNUMBER(S43),S43&lt;&gt;INT(S43),FALSE),NOT(ISNUMBER(T43)),T43&lt;1,T43&gt;5,IF(ISNUMBER(T43),T43&lt;&gt;INT(T43),FALSE)),"Impacto ou urgência inválido",""))))))))))))))</x:f>
      </x:c>
      <x:c r="Y43" s="194" t="n">
        <x:f>IF(AND(COUNTA(A43:J43,L43,O43,S43:T43,W43)&gt;0,OR(Listas!$B$20="Todos",I43=Listas!$B$20)),1,0)</x:f>
        <x:v>0</x:v>
      </x:c>
      <x:c r="Z43" s="194" t="n">
        <x:f>IF(AND(Y43=1,X43="",J43&lt;&gt;"Cancelado",NOT(OR(J43="Fechado",J43="Resolvido"))),1,0)</x:f>
        <x:v>0</x:v>
      </x:c>
      <x:c r="AA43" s="194" t="n">
        <x:f>IF(AND(Y43=1,X43="",OR(J43="Fechado",J43="Resolvido")),1,0)</x:f>
        <x:v>0</x:v>
      </x:c>
      <x:c r="AB43" s="194" t="n">
        <x:f>IF(Y43=0,0,IF(X43&lt;&gt;"",1,IF(Z43=0,0,IF(P43="ATRASADO",2,IF(AND(M43="ATRASADO",L43=""),3,IF(V43="ESCALAR",4,IF(V43="REVISAR BACKLOG",5,0)))))))</x:f>
        <x:v>0</x:v>
      </x:c>
      <x:c r="AC43" s="194" t="str">
        <x:f>IF(AB43=0,"",COUNTIFS($AB$5:$AB$204,"&gt;0",$AB$5:$AB$204,"&lt;"&amp;AB43)+COUNTIFS($AB$5:AB43,AB43))</x:f>
      </x:c>
      <x:c r="AD43" s="194" t="n">
        <x:f>IF(AND(A43&lt;&gt;"",X43=""),1,0)</x:f>
        <x:v>0</x:v>
      </x:c>
      <x:c r="AE43" s="194" t="n">
        <x:f>IF(AND(Y43=1,X43&lt;&gt;""),1,0)</x:f>
        <x:v>0</x:v>
      </x:c>
      <x:c r="AF43" s="194" t="n">
        <x:f>IF(L43="",1,0)</x:f>
        <x:v>1</x:v>
      </x:c>
    </x:row>
    <x:row r="44">
      <x:c r="A44" s="28"/>
      <x:c r="B44" s="41"/>
      <x:c r="C44" s="28"/>
      <x:c r="D44" s="28"/>
      <x:c r="E44" s="28"/>
      <x:c r="F44" s="28"/>
      <x:c r="G44" s="28"/>
      <x:c r="H44" s="28"/>
      <x:c r="I44" s="28"/>
      <x:c r="J44" s="28"/>
      <x:c r="K44" s="54" t="str">
        <x:f>IF(OR(A44="",X44&lt;&gt;""),"",B44+INDEX(Listas!$B$6:$B$9,MATCH(H44,Listas!$A$6:$A$9,0))/24)</x:f>
      </x:c>
      <x:c r="L44" s="41"/>
      <x:c r="M44" s="55" t="str">
        <x:f>IF(A44="","",IF(X44&lt;&gt;"","DADO PENDENTE",IF(J44="Cancelado","N.A.",IF(L44&lt;&gt;"",IF(L44&lt;=K44,"ATENDIDO","ATRASADO"),IF(OR(J44="Fechado",J44="Resolvido"),"SEM EVIDÊNCIA",IF(Listas!$B$18&gt;K44,"ATRASADO","PENDENTE"))))))</x:f>
      </x:c>
      <x:c r="N44" s="54" t="str">
        <x:f>IF(OR(A44="",X44&lt;&gt;""),"",B44+INDEX(Listas!$C$6:$C$9,MATCH(H44,Listas!$A$6:$A$9,0))/24)</x:f>
      </x:c>
      <x:c r="O44" s="41"/>
      <x:c r="P44" s="55" t="str">
        <x:f>IF(A44="","",IF(X44&lt;&gt;"","DADO PENDENTE",IF(J44="Cancelado","N.A.",IF(OR(J44="Fechado",J44="Resolvido"),IF(O44&lt;=N44,"ATENDIDO","ATRASADO"),IF(Listas!$B$18&gt;N44,"ATRASADO","PENDENTE")))))</x:f>
      </x:c>
      <x:c r="Q44" s="56" t="str">
        <x:f>IF(OR(A44="",X44&lt;&gt;"",J44="Cancelado"),"",24*IF(OR(J44="Fechado",J44="Resolvido"),O44-B44,Listas!$B$18-B44))</x:f>
      </x:c>
      <x:c r="R44" s="57" t="str">
        <x:f>IF(OR(A44="",X44&lt;&gt;"",J44="Cancelado"),"",INT(IF(OR(J44="Fechado",J44="Resolvido"),O44-B44,Listas!$B$18-B44)))</x:f>
      </x:c>
      <x:c r="S44" s="58"/>
      <x:c r="T44" s="58"/>
      <x:c r="U44" s="57" t="str">
        <x:f>IF(OR(A44="",X44&lt;&gt;"",J44="Cancelado"),"",S44*T44)</x:f>
      </x:c>
      <x:c r="V44" s="55" t="str">
        <x:f>IF(A44="","",IF(X44&lt;&gt;"","CORRIGIR DADOS",IF(J44="Cancelado","CANCELADO",IF(OR(J44="Fechado",J44="Resolvido"),"CONCLUÍDO",IF(OR(P44="ATRASADO",U44&gt;=Listas!$B$16),"ESCALAR",IF(AND(M44="ATRASADO",L44=""),"RESPONDER AGORA",IF(R44&gt;=Listas!$B$14,"REVISAR BACKLOG","ACOMPANHAR")))))))</x:f>
      </x:c>
      <x:c r="W44" s="28"/>
      <x:c r="X44" s="194" t="str">
        <x:f>IF(COUNTA(A44:J44,L44,O44,S44:T44,W44)=0,"",IF(OR(NOT(ISNUMBER(Listas!$B$14)),Listas!$B$14&lt;0,NOT(ISNUMBER(Listas!$B$16)),Listas!$B$16&lt;1,COUNT(Listas!$B$6:$C$9)&lt;&gt;8,MIN(Listas!$B$6:$C$9)&lt;=0),"Parâmetros inválidos",IF(A44="","ID ausente",IF(COUNTIFS($A$5:$A$204,A44)&lt;&gt;1,"ID duplicado",IF(OR(NOT(ISNUMBER(B44)),B44&lt;=0),"Abertura inválida",IF(OR(NOT(ISNUMBER(Listas!$B$18)),Listas!$B$18&lt;=0),"Data da análise inválida",IF(B44&gt;Listas!$B$18,"Abertura após análise",IF(COUNTIFS(Listas!$A$6:$A$9,H44)&lt;&gt;1,"Prioridade inválida",IF(COUNTIFS(Equipe!$A$5:$A$12,I44)&lt;&gt;1,"Responsável inválido",IF(COUNTIFS(Listas!$E$6:$E$11,J44)&lt;&gt;1,"Status inválido",IF(AND(L44&lt;&gt;"",OR(NOT(ISNUMBER(L44)),L44&lt;B44,L44&gt;Listas!$B$18)),"Resposta inválida",IF(AND(O44&lt;&gt;"",OR(NOT(ISNUMBER(O44)),O44&lt;B44,O44&gt;Listas!$B$18)),"Resolução inválida",IF(AND(OR(J44="Fechado",J44="Resolvido"),O44=""),"Conclusão sem resolução",IF(OR(NOT(ISNUMBER(S44)),S44&lt;1,S44&gt;5,IF(ISNUMBER(S44),S44&lt;&gt;INT(S44),FALSE),NOT(ISNUMBER(T44)),T44&lt;1,T44&gt;5,IF(ISNUMBER(T44),T44&lt;&gt;INT(T44),FALSE)),"Impacto ou urgência inválido",""))))))))))))))</x:f>
      </x:c>
      <x:c r="Y44" s="194" t="n">
        <x:f>IF(AND(COUNTA(A44:J44,L44,O44,S44:T44,W44)&gt;0,OR(Listas!$B$20="Todos",I44=Listas!$B$20)),1,0)</x:f>
        <x:v>0</x:v>
      </x:c>
      <x:c r="Z44" s="194" t="n">
        <x:f>IF(AND(Y44=1,X44="",J44&lt;&gt;"Cancelado",NOT(OR(J44="Fechado",J44="Resolvido"))),1,0)</x:f>
        <x:v>0</x:v>
      </x:c>
      <x:c r="AA44" s="194" t="n">
        <x:f>IF(AND(Y44=1,X44="",OR(J44="Fechado",J44="Resolvido")),1,0)</x:f>
        <x:v>0</x:v>
      </x:c>
      <x:c r="AB44" s="194" t="n">
        <x:f>IF(Y44=0,0,IF(X44&lt;&gt;"",1,IF(Z44=0,0,IF(P44="ATRASADO",2,IF(AND(M44="ATRASADO",L44=""),3,IF(V44="ESCALAR",4,IF(V44="REVISAR BACKLOG",5,0)))))))</x:f>
        <x:v>0</x:v>
      </x:c>
      <x:c r="AC44" s="194" t="str">
        <x:f>IF(AB44=0,"",COUNTIFS($AB$5:$AB$204,"&gt;0",$AB$5:$AB$204,"&lt;"&amp;AB44)+COUNTIFS($AB$5:AB44,AB44))</x:f>
      </x:c>
      <x:c r="AD44" s="194" t="n">
        <x:f>IF(AND(A44&lt;&gt;"",X44=""),1,0)</x:f>
        <x:v>0</x:v>
      </x:c>
      <x:c r="AE44" s="194" t="n">
        <x:f>IF(AND(Y44=1,X44&lt;&gt;""),1,0)</x:f>
        <x:v>0</x:v>
      </x:c>
      <x:c r="AF44" s="194" t="n">
        <x:f>IF(L44="",1,0)</x:f>
        <x:v>1</x:v>
      </x:c>
    </x:row>
    <x:row r="45">
      <x:c r="A45" s="28"/>
      <x:c r="B45" s="41"/>
      <x:c r="C45" s="28"/>
      <x:c r="D45" s="28"/>
      <x:c r="E45" s="28"/>
      <x:c r="F45" s="28"/>
      <x:c r="G45" s="28"/>
      <x:c r="H45" s="28"/>
      <x:c r="I45" s="28"/>
      <x:c r="J45" s="28"/>
      <x:c r="K45" s="54" t="str">
        <x:f>IF(OR(A45="",X45&lt;&gt;""),"",B45+INDEX(Listas!$B$6:$B$9,MATCH(H45,Listas!$A$6:$A$9,0))/24)</x:f>
      </x:c>
      <x:c r="L45" s="41"/>
      <x:c r="M45" s="55" t="str">
        <x:f>IF(A45="","",IF(X45&lt;&gt;"","DADO PENDENTE",IF(J45="Cancelado","N.A.",IF(L45&lt;&gt;"",IF(L45&lt;=K45,"ATENDIDO","ATRASADO"),IF(OR(J45="Fechado",J45="Resolvido"),"SEM EVIDÊNCIA",IF(Listas!$B$18&gt;K45,"ATRASADO","PENDENTE"))))))</x:f>
      </x:c>
      <x:c r="N45" s="54" t="str">
        <x:f>IF(OR(A45="",X45&lt;&gt;""),"",B45+INDEX(Listas!$C$6:$C$9,MATCH(H45,Listas!$A$6:$A$9,0))/24)</x:f>
      </x:c>
      <x:c r="O45" s="41"/>
      <x:c r="P45" s="55" t="str">
        <x:f>IF(A45="","",IF(X45&lt;&gt;"","DADO PENDENTE",IF(J45="Cancelado","N.A.",IF(OR(J45="Fechado",J45="Resolvido"),IF(O45&lt;=N45,"ATENDIDO","ATRASADO"),IF(Listas!$B$18&gt;N45,"ATRASADO","PENDENTE")))))</x:f>
      </x:c>
      <x:c r="Q45" s="56" t="str">
        <x:f>IF(OR(A45="",X45&lt;&gt;"",J45="Cancelado"),"",24*IF(OR(J45="Fechado",J45="Resolvido"),O45-B45,Listas!$B$18-B45))</x:f>
      </x:c>
      <x:c r="R45" s="57" t="str">
        <x:f>IF(OR(A45="",X45&lt;&gt;"",J45="Cancelado"),"",INT(IF(OR(J45="Fechado",J45="Resolvido"),O45-B45,Listas!$B$18-B45)))</x:f>
      </x:c>
      <x:c r="S45" s="58"/>
      <x:c r="T45" s="58"/>
      <x:c r="U45" s="57" t="str">
        <x:f>IF(OR(A45="",X45&lt;&gt;"",J45="Cancelado"),"",S45*T45)</x:f>
      </x:c>
      <x:c r="V45" s="55" t="str">
        <x:f>IF(A45="","",IF(X45&lt;&gt;"","CORRIGIR DADOS",IF(J45="Cancelado","CANCELADO",IF(OR(J45="Fechado",J45="Resolvido"),"CONCLUÍDO",IF(OR(P45="ATRASADO",U45&gt;=Listas!$B$16),"ESCALAR",IF(AND(M45="ATRASADO",L45=""),"RESPONDER AGORA",IF(R45&gt;=Listas!$B$14,"REVISAR BACKLOG","ACOMPANHAR")))))))</x:f>
      </x:c>
      <x:c r="W45" s="28"/>
      <x:c r="X45" s="194" t="str">
        <x:f>IF(COUNTA(A45:J45,L45,O45,S45:T45,W45)=0,"",IF(OR(NOT(ISNUMBER(Listas!$B$14)),Listas!$B$14&lt;0,NOT(ISNUMBER(Listas!$B$16)),Listas!$B$16&lt;1,COUNT(Listas!$B$6:$C$9)&lt;&gt;8,MIN(Listas!$B$6:$C$9)&lt;=0),"Parâmetros inválidos",IF(A45="","ID ausente",IF(COUNTIFS($A$5:$A$204,A45)&lt;&gt;1,"ID duplicado",IF(OR(NOT(ISNUMBER(B45)),B45&lt;=0),"Abertura inválida",IF(OR(NOT(ISNUMBER(Listas!$B$18)),Listas!$B$18&lt;=0),"Data da análise inválida",IF(B45&gt;Listas!$B$18,"Abertura após análise",IF(COUNTIFS(Listas!$A$6:$A$9,H45)&lt;&gt;1,"Prioridade inválida",IF(COUNTIFS(Equipe!$A$5:$A$12,I45)&lt;&gt;1,"Responsável inválido",IF(COUNTIFS(Listas!$E$6:$E$11,J45)&lt;&gt;1,"Status inválido",IF(AND(L45&lt;&gt;"",OR(NOT(ISNUMBER(L45)),L45&lt;B45,L45&gt;Listas!$B$18)),"Resposta inválida",IF(AND(O45&lt;&gt;"",OR(NOT(ISNUMBER(O45)),O45&lt;B45,O45&gt;Listas!$B$18)),"Resolução inválida",IF(AND(OR(J45="Fechado",J45="Resolvido"),O45=""),"Conclusão sem resolução",IF(OR(NOT(ISNUMBER(S45)),S45&lt;1,S45&gt;5,IF(ISNUMBER(S45),S45&lt;&gt;INT(S45),FALSE),NOT(ISNUMBER(T45)),T45&lt;1,T45&gt;5,IF(ISNUMBER(T45),T45&lt;&gt;INT(T45),FALSE)),"Impacto ou urgência inválido",""))))))))))))))</x:f>
      </x:c>
      <x:c r="Y45" s="194" t="n">
        <x:f>IF(AND(COUNTA(A45:J45,L45,O45,S45:T45,W45)&gt;0,OR(Listas!$B$20="Todos",I45=Listas!$B$20)),1,0)</x:f>
        <x:v>0</x:v>
      </x:c>
      <x:c r="Z45" s="194" t="n">
        <x:f>IF(AND(Y45=1,X45="",J45&lt;&gt;"Cancelado",NOT(OR(J45="Fechado",J45="Resolvido"))),1,0)</x:f>
        <x:v>0</x:v>
      </x:c>
      <x:c r="AA45" s="194" t="n">
        <x:f>IF(AND(Y45=1,X45="",OR(J45="Fechado",J45="Resolvido")),1,0)</x:f>
        <x:v>0</x:v>
      </x:c>
      <x:c r="AB45" s="194" t="n">
        <x:f>IF(Y45=0,0,IF(X45&lt;&gt;"",1,IF(Z45=0,0,IF(P45="ATRASADO",2,IF(AND(M45="ATRASADO",L45=""),3,IF(V45="ESCALAR",4,IF(V45="REVISAR BACKLOG",5,0)))))))</x:f>
        <x:v>0</x:v>
      </x:c>
      <x:c r="AC45" s="194" t="str">
        <x:f>IF(AB45=0,"",COUNTIFS($AB$5:$AB$204,"&gt;0",$AB$5:$AB$204,"&lt;"&amp;AB45)+COUNTIFS($AB$5:AB45,AB45))</x:f>
      </x:c>
      <x:c r="AD45" s="194" t="n">
        <x:f>IF(AND(A45&lt;&gt;"",X45=""),1,0)</x:f>
        <x:v>0</x:v>
      </x:c>
      <x:c r="AE45" s="194" t="n">
        <x:f>IF(AND(Y45=1,X45&lt;&gt;""),1,0)</x:f>
        <x:v>0</x:v>
      </x:c>
      <x:c r="AF45" s="194" t="n">
        <x:f>IF(L45="",1,0)</x:f>
        <x:v>1</x:v>
      </x:c>
    </x:row>
    <x:row r="46">
      <x:c r="A46" s="28"/>
      <x:c r="B46" s="41"/>
      <x:c r="C46" s="28"/>
      <x:c r="D46" s="28"/>
      <x:c r="E46" s="28"/>
      <x:c r="F46" s="28"/>
      <x:c r="G46" s="28"/>
      <x:c r="H46" s="28"/>
      <x:c r="I46" s="28"/>
      <x:c r="J46" s="28"/>
      <x:c r="K46" s="54" t="str">
        <x:f>IF(OR(A46="",X46&lt;&gt;""),"",B46+INDEX(Listas!$B$6:$B$9,MATCH(H46,Listas!$A$6:$A$9,0))/24)</x:f>
      </x:c>
      <x:c r="L46" s="41"/>
      <x:c r="M46" s="55" t="str">
        <x:f>IF(A46="","",IF(X46&lt;&gt;"","DADO PENDENTE",IF(J46="Cancelado","N.A.",IF(L46&lt;&gt;"",IF(L46&lt;=K46,"ATENDIDO","ATRASADO"),IF(OR(J46="Fechado",J46="Resolvido"),"SEM EVIDÊNCIA",IF(Listas!$B$18&gt;K46,"ATRASADO","PENDENTE"))))))</x:f>
      </x:c>
      <x:c r="N46" s="54" t="str">
        <x:f>IF(OR(A46="",X46&lt;&gt;""),"",B46+INDEX(Listas!$C$6:$C$9,MATCH(H46,Listas!$A$6:$A$9,0))/24)</x:f>
      </x:c>
      <x:c r="O46" s="41"/>
      <x:c r="P46" s="55" t="str">
        <x:f>IF(A46="","",IF(X46&lt;&gt;"","DADO PENDENTE",IF(J46="Cancelado","N.A.",IF(OR(J46="Fechado",J46="Resolvido"),IF(O46&lt;=N46,"ATENDIDO","ATRASADO"),IF(Listas!$B$18&gt;N46,"ATRASADO","PENDENTE")))))</x:f>
      </x:c>
      <x:c r="Q46" s="56" t="str">
        <x:f>IF(OR(A46="",X46&lt;&gt;"",J46="Cancelado"),"",24*IF(OR(J46="Fechado",J46="Resolvido"),O46-B46,Listas!$B$18-B46))</x:f>
      </x:c>
      <x:c r="R46" s="57" t="str">
        <x:f>IF(OR(A46="",X46&lt;&gt;"",J46="Cancelado"),"",INT(IF(OR(J46="Fechado",J46="Resolvido"),O46-B46,Listas!$B$18-B46)))</x:f>
      </x:c>
      <x:c r="S46" s="58"/>
      <x:c r="T46" s="58"/>
      <x:c r="U46" s="57" t="str">
        <x:f>IF(OR(A46="",X46&lt;&gt;"",J46="Cancelado"),"",S46*T46)</x:f>
      </x:c>
      <x:c r="V46" s="55" t="str">
        <x:f>IF(A46="","",IF(X46&lt;&gt;"","CORRIGIR DADOS",IF(J46="Cancelado","CANCELADO",IF(OR(J46="Fechado",J46="Resolvido"),"CONCLUÍDO",IF(OR(P46="ATRASADO",U46&gt;=Listas!$B$16),"ESCALAR",IF(AND(M46="ATRASADO",L46=""),"RESPONDER AGORA",IF(R46&gt;=Listas!$B$14,"REVISAR BACKLOG","ACOMPANHAR")))))))</x:f>
      </x:c>
      <x:c r="W46" s="28"/>
      <x:c r="X46" s="194" t="str">
        <x:f>IF(COUNTA(A46:J46,L46,O46,S46:T46,W46)=0,"",IF(OR(NOT(ISNUMBER(Listas!$B$14)),Listas!$B$14&lt;0,NOT(ISNUMBER(Listas!$B$16)),Listas!$B$16&lt;1,COUNT(Listas!$B$6:$C$9)&lt;&gt;8,MIN(Listas!$B$6:$C$9)&lt;=0),"Parâmetros inválidos",IF(A46="","ID ausente",IF(COUNTIFS($A$5:$A$204,A46)&lt;&gt;1,"ID duplicado",IF(OR(NOT(ISNUMBER(B46)),B46&lt;=0),"Abertura inválida",IF(OR(NOT(ISNUMBER(Listas!$B$18)),Listas!$B$18&lt;=0),"Data da análise inválida",IF(B46&gt;Listas!$B$18,"Abertura após análise",IF(COUNTIFS(Listas!$A$6:$A$9,H46)&lt;&gt;1,"Prioridade inválida",IF(COUNTIFS(Equipe!$A$5:$A$12,I46)&lt;&gt;1,"Responsável inválido",IF(COUNTIFS(Listas!$E$6:$E$11,J46)&lt;&gt;1,"Status inválido",IF(AND(L46&lt;&gt;"",OR(NOT(ISNUMBER(L46)),L46&lt;B46,L46&gt;Listas!$B$18)),"Resposta inválida",IF(AND(O46&lt;&gt;"",OR(NOT(ISNUMBER(O46)),O46&lt;B46,O46&gt;Listas!$B$18)),"Resolução inválida",IF(AND(OR(J46="Fechado",J46="Resolvido"),O46=""),"Conclusão sem resolução",IF(OR(NOT(ISNUMBER(S46)),S46&lt;1,S46&gt;5,IF(ISNUMBER(S46),S46&lt;&gt;INT(S46),FALSE),NOT(ISNUMBER(T46)),T46&lt;1,T46&gt;5,IF(ISNUMBER(T46),T46&lt;&gt;INT(T46),FALSE)),"Impacto ou urgência inválido",""))))))))))))))</x:f>
      </x:c>
      <x:c r="Y46" s="194" t="n">
        <x:f>IF(AND(COUNTA(A46:J46,L46,O46,S46:T46,W46)&gt;0,OR(Listas!$B$20="Todos",I46=Listas!$B$20)),1,0)</x:f>
        <x:v>0</x:v>
      </x:c>
      <x:c r="Z46" s="194" t="n">
        <x:f>IF(AND(Y46=1,X46="",J46&lt;&gt;"Cancelado",NOT(OR(J46="Fechado",J46="Resolvido"))),1,0)</x:f>
        <x:v>0</x:v>
      </x:c>
      <x:c r="AA46" s="194" t="n">
        <x:f>IF(AND(Y46=1,X46="",OR(J46="Fechado",J46="Resolvido")),1,0)</x:f>
        <x:v>0</x:v>
      </x:c>
      <x:c r="AB46" s="194" t="n">
        <x:f>IF(Y46=0,0,IF(X46&lt;&gt;"",1,IF(Z46=0,0,IF(P46="ATRASADO",2,IF(AND(M46="ATRASADO",L46=""),3,IF(V46="ESCALAR",4,IF(V46="REVISAR BACKLOG",5,0)))))))</x:f>
        <x:v>0</x:v>
      </x:c>
      <x:c r="AC46" s="194" t="str">
        <x:f>IF(AB46=0,"",COUNTIFS($AB$5:$AB$204,"&gt;0",$AB$5:$AB$204,"&lt;"&amp;AB46)+COUNTIFS($AB$5:AB46,AB46))</x:f>
      </x:c>
      <x:c r="AD46" s="194" t="n">
        <x:f>IF(AND(A46&lt;&gt;"",X46=""),1,0)</x:f>
        <x:v>0</x:v>
      </x:c>
      <x:c r="AE46" s="194" t="n">
        <x:f>IF(AND(Y46=1,X46&lt;&gt;""),1,0)</x:f>
        <x:v>0</x:v>
      </x:c>
      <x:c r="AF46" s="194" t="n">
        <x:f>IF(L46="",1,0)</x:f>
        <x:v>1</x:v>
      </x:c>
    </x:row>
    <x:row r="47">
      <x:c r="A47" s="28"/>
      <x:c r="B47" s="41"/>
      <x:c r="C47" s="28"/>
      <x:c r="D47" s="28"/>
      <x:c r="E47" s="28"/>
      <x:c r="F47" s="28"/>
      <x:c r="G47" s="28"/>
      <x:c r="H47" s="28"/>
      <x:c r="I47" s="28"/>
      <x:c r="J47" s="28"/>
      <x:c r="K47" s="54" t="str">
        <x:f>IF(OR(A47="",X47&lt;&gt;""),"",B47+INDEX(Listas!$B$6:$B$9,MATCH(H47,Listas!$A$6:$A$9,0))/24)</x:f>
      </x:c>
      <x:c r="L47" s="41"/>
      <x:c r="M47" s="55" t="str">
        <x:f>IF(A47="","",IF(X47&lt;&gt;"","DADO PENDENTE",IF(J47="Cancelado","N.A.",IF(L47&lt;&gt;"",IF(L47&lt;=K47,"ATENDIDO","ATRASADO"),IF(OR(J47="Fechado",J47="Resolvido"),"SEM EVIDÊNCIA",IF(Listas!$B$18&gt;K47,"ATRASADO","PENDENTE"))))))</x:f>
      </x:c>
      <x:c r="N47" s="54" t="str">
        <x:f>IF(OR(A47="",X47&lt;&gt;""),"",B47+INDEX(Listas!$C$6:$C$9,MATCH(H47,Listas!$A$6:$A$9,0))/24)</x:f>
      </x:c>
      <x:c r="O47" s="41"/>
      <x:c r="P47" s="55" t="str">
        <x:f>IF(A47="","",IF(X47&lt;&gt;"","DADO PENDENTE",IF(J47="Cancelado","N.A.",IF(OR(J47="Fechado",J47="Resolvido"),IF(O47&lt;=N47,"ATENDIDO","ATRASADO"),IF(Listas!$B$18&gt;N47,"ATRASADO","PENDENTE")))))</x:f>
      </x:c>
      <x:c r="Q47" s="56" t="str">
        <x:f>IF(OR(A47="",X47&lt;&gt;"",J47="Cancelado"),"",24*IF(OR(J47="Fechado",J47="Resolvido"),O47-B47,Listas!$B$18-B47))</x:f>
      </x:c>
      <x:c r="R47" s="57" t="str">
        <x:f>IF(OR(A47="",X47&lt;&gt;"",J47="Cancelado"),"",INT(IF(OR(J47="Fechado",J47="Resolvido"),O47-B47,Listas!$B$18-B47)))</x:f>
      </x:c>
      <x:c r="S47" s="58"/>
      <x:c r="T47" s="58"/>
      <x:c r="U47" s="57" t="str">
        <x:f>IF(OR(A47="",X47&lt;&gt;"",J47="Cancelado"),"",S47*T47)</x:f>
      </x:c>
      <x:c r="V47" s="55" t="str">
        <x:f>IF(A47="","",IF(X47&lt;&gt;"","CORRIGIR DADOS",IF(J47="Cancelado","CANCELADO",IF(OR(J47="Fechado",J47="Resolvido"),"CONCLUÍDO",IF(OR(P47="ATRASADO",U47&gt;=Listas!$B$16),"ESCALAR",IF(AND(M47="ATRASADO",L47=""),"RESPONDER AGORA",IF(R47&gt;=Listas!$B$14,"REVISAR BACKLOG","ACOMPANHAR")))))))</x:f>
      </x:c>
      <x:c r="W47" s="28"/>
      <x:c r="X47" s="194" t="str">
        <x:f>IF(COUNTA(A47:J47,L47,O47,S47:T47,W47)=0,"",IF(OR(NOT(ISNUMBER(Listas!$B$14)),Listas!$B$14&lt;0,NOT(ISNUMBER(Listas!$B$16)),Listas!$B$16&lt;1,COUNT(Listas!$B$6:$C$9)&lt;&gt;8,MIN(Listas!$B$6:$C$9)&lt;=0),"Parâmetros inválidos",IF(A47="","ID ausente",IF(COUNTIFS($A$5:$A$204,A47)&lt;&gt;1,"ID duplicado",IF(OR(NOT(ISNUMBER(B47)),B47&lt;=0),"Abertura inválida",IF(OR(NOT(ISNUMBER(Listas!$B$18)),Listas!$B$18&lt;=0),"Data da análise inválida",IF(B47&gt;Listas!$B$18,"Abertura após análise",IF(COUNTIFS(Listas!$A$6:$A$9,H47)&lt;&gt;1,"Prioridade inválida",IF(COUNTIFS(Equipe!$A$5:$A$12,I47)&lt;&gt;1,"Responsável inválido",IF(COUNTIFS(Listas!$E$6:$E$11,J47)&lt;&gt;1,"Status inválido",IF(AND(L47&lt;&gt;"",OR(NOT(ISNUMBER(L47)),L47&lt;B47,L47&gt;Listas!$B$18)),"Resposta inválida",IF(AND(O47&lt;&gt;"",OR(NOT(ISNUMBER(O47)),O47&lt;B47,O47&gt;Listas!$B$18)),"Resolução inválida",IF(AND(OR(J47="Fechado",J47="Resolvido"),O47=""),"Conclusão sem resolução",IF(OR(NOT(ISNUMBER(S47)),S47&lt;1,S47&gt;5,IF(ISNUMBER(S47),S47&lt;&gt;INT(S47),FALSE),NOT(ISNUMBER(T47)),T47&lt;1,T47&gt;5,IF(ISNUMBER(T47),T47&lt;&gt;INT(T47),FALSE)),"Impacto ou urgência inválido",""))))))))))))))</x:f>
      </x:c>
      <x:c r="Y47" s="194" t="n">
        <x:f>IF(AND(COUNTA(A47:J47,L47,O47,S47:T47,W47)&gt;0,OR(Listas!$B$20="Todos",I47=Listas!$B$20)),1,0)</x:f>
        <x:v>0</x:v>
      </x:c>
      <x:c r="Z47" s="194" t="n">
        <x:f>IF(AND(Y47=1,X47="",J47&lt;&gt;"Cancelado",NOT(OR(J47="Fechado",J47="Resolvido"))),1,0)</x:f>
        <x:v>0</x:v>
      </x:c>
      <x:c r="AA47" s="194" t="n">
        <x:f>IF(AND(Y47=1,X47="",OR(J47="Fechado",J47="Resolvido")),1,0)</x:f>
        <x:v>0</x:v>
      </x:c>
      <x:c r="AB47" s="194" t="n">
        <x:f>IF(Y47=0,0,IF(X47&lt;&gt;"",1,IF(Z47=0,0,IF(P47="ATRASADO",2,IF(AND(M47="ATRASADO",L47=""),3,IF(V47="ESCALAR",4,IF(V47="REVISAR BACKLOG",5,0)))))))</x:f>
        <x:v>0</x:v>
      </x:c>
      <x:c r="AC47" s="194" t="str">
        <x:f>IF(AB47=0,"",COUNTIFS($AB$5:$AB$204,"&gt;0",$AB$5:$AB$204,"&lt;"&amp;AB47)+COUNTIFS($AB$5:AB47,AB47))</x:f>
      </x:c>
      <x:c r="AD47" s="194" t="n">
        <x:f>IF(AND(A47&lt;&gt;"",X47=""),1,0)</x:f>
        <x:v>0</x:v>
      </x:c>
      <x:c r="AE47" s="194" t="n">
        <x:f>IF(AND(Y47=1,X47&lt;&gt;""),1,0)</x:f>
        <x:v>0</x:v>
      </x:c>
      <x:c r="AF47" s="194" t="n">
        <x:f>IF(L47="",1,0)</x:f>
        <x:v>1</x:v>
      </x:c>
    </x:row>
    <x:row r="48">
      <x:c r="A48" s="28"/>
      <x:c r="B48" s="41"/>
      <x:c r="C48" s="28"/>
      <x:c r="D48" s="28"/>
      <x:c r="E48" s="28"/>
      <x:c r="F48" s="28"/>
      <x:c r="G48" s="28"/>
      <x:c r="H48" s="28"/>
      <x:c r="I48" s="28"/>
      <x:c r="J48" s="28"/>
      <x:c r="K48" s="54" t="str">
        <x:f>IF(OR(A48="",X48&lt;&gt;""),"",B48+INDEX(Listas!$B$6:$B$9,MATCH(H48,Listas!$A$6:$A$9,0))/24)</x:f>
      </x:c>
      <x:c r="L48" s="41"/>
      <x:c r="M48" s="55" t="str">
        <x:f>IF(A48="","",IF(X48&lt;&gt;"","DADO PENDENTE",IF(J48="Cancelado","N.A.",IF(L48&lt;&gt;"",IF(L48&lt;=K48,"ATENDIDO","ATRASADO"),IF(OR(J48="Fechado",J48="Resolvido"),"SEM EVIDÊNCIA",IF(Listas!$B$18&gt;K48,"ATRASADO","PENDENTE"))))))</x:f>
      </x:c>
      <x:c r="N48" s="54" t="str">
        <x:f>IF(OR(A48="",X48&lt;&gt;""),"",B48+INDEX(Listas!$C$6:$C$9,MATCH(H48,Listas!$A$6:$A$9,0))/24)</x:f>
      </x:c>
      <x:c r="O48" s="41"/>
      <x:c r="P48" s="55" t="str">
        <x:f>IF(A48="","",IF(X48&lt;&gt;"","DADO PENDENTE",IF(J48="Cancelado","N.A.",IF(OR(J48="Fechado",J48="Resolvido"),IF(O48&lt;=N48,"ATENDIDO","ATRASADO"),IF(Listas!$B$18&gt;N48,"ATRASADO","PENDENTE")))))</x:f>
      </x:c>
      <x:c r="Q48" s="56" t="str">
        <x:f>IF(OR(A48="",X48&lt;&gt;"",J48="Cancelado"),"",24*IF(OR(J48="Fechado",J48="Resolvido"),O48-B48,Listas!$B$18-B48))</x:f>
      </x:c>
      <x:c r="R48" s="57" t="str">
        <x:f>IF(OR(A48="",X48&lt;&gt;"",J48="Cancelado"),"",INT(IF(OR(J48="Fechado",J48="Resolvido"),O48-B48,Listas!$B$18-B48)))</x:f>
      </x:c>
      <x:c r="S48" s="58"/>
      <x:c r="T48" s="58"/>
      <x:c r="U48" s="57" t="str">
        <x:f>IF(OR(A48="",X48&lt;&gt;"",J48="Cancelado"),"",S48*T48)</x:f>
      </x:c>
      <x:c r="V48" s="55" t="str">
        <x:f>IF(A48="","",IF(X48&lt;&gt;"","CORRIGIR DADOS",IF(J48="Cancelado","CANCELADO",IF(OR(J48="Fechado",J48="Resolvido"),"CONCLUÍDO",IF(OR(P48="ATRASADO",U48&gt;=Listas!$B$16),"ESCALAR",IF(AND(M48="ATRASADO",L48=""),"RESPONDER AGORA",IF(R48&gt;=Listas!$B$14,"REVISAR BACKLOG","ACOMPANHAR")))))))</x:f>
      </x:c>
      <x:c r="W48" s="28"/>
      <x:c r="X48" s="194" t="str">
        <x:f>IF(COUNTA(A48:J48,L48,O48,S48:T48,W48)=0,"",IF(OR(NOT(ISNUMBER(Listas!$B$14)),Listas!$B$14&lt;0,NOT(ISNUMBER(Listas!$B$16)),Listas!$B$16&lt;1,COUNT(Listas!$B$6:$C$9)&lt;&gt;8,MIN(Listas!$B$6:$C$9)&lt;=0),"Parâmetros inválidos",IF(A48="","ID ausente",IF(COUNTIFS($A$5:$A$204,A48)&lt;&gt;1,"ID duplicado",IF(OR(NOT(ISNUMBER(B48)),B48&lt;=0),"Abertura inválida",IF(OR(NOT(ISNUMBER(Listas!$B$18)),Listas!$B$18&lt;=0),"Data da análise inválida",IF(B48&gt;Listas!$B$18,"Abertura após análise",IF(COUNTIFS(Listas!$A$6:$A$9,H48)&lt;&gt;1,"Prioridade inválida",IF(COUNTIFS(Equipe!$A$5:$A$12,I48)&lt;&gt;1,"Responsável inválido",IF(COUNTIFS(Listas!$E$6:$E$11,J48)&lt;&gt;1,"Status inválido",IF(AND(L48&lt;&gt;"",OR(NOT(ISNUMBER(L48)),L48&lt;B48,L48&gt;Listas!$B$18)),"Resposta inválida",IF(AND(O48&lt;&gt;"",OR(NOT(ISNUMBER(O48)),O48&lt;B48,O48&gt;Listas!$B$18)),"Resolução inválida",IF(AND(OR(J48="Fechado",J48="Resolvido"),O48=""),"Conclusão sem resolução",IF(OR(NOT(ISNUMBER(S48)),S48&lt;1,S48&gt;5,IF(ISNUMBER(S48),S48&lt;&gt;INT(S48),FALSE),NOT(ISNUMBER(T48)),T48&lt;1,T48&gt;5,IF(ISNUMBER(T48),T48&lt;&gt;INT(T48),FALSE)),"Impacto ou urgência inválido",""))))))))))))))</x:f>
      </x:c>
      <x:c r="Y48" s="194" t="n">
        <x:f>IF(AND(COUNTA(A48:J48,L48,O48,S48:T48,W48)&gt;0,OR(Listas!$B$20="Todos",I48=Listas!$B$20)),1,0)</x:f>
        <x:v>0</x:v>
      </x:c>
      <x:c r="Z48" s="194" t="n">
        <x:f>IF(AND(Y48=1,X48="",J48&lt;&gt;"Cancelado",NOT(OR(J48="Fechado",J48="Resolvido"))),1,0)</x:f>
        <x:v>0</x:v>
      </x:c>
      <x:c r="AA48" s="194" t="n">
        <x:f>IF(AND(Y48=1,X48="",OR(J48="Fechado",J48="Resolvido")),1,0)</x:f>
        <x:v>0</x:v>
      </x:c>
      <x:c r="AB48" s="194" t="n">
        <x:f>IF(Y48=0,0,IF(X48&lt;&gt;"",1,IF(Z48=0,0,IF(P48="ATRASADO",2,IF(AND(M48="ATRASADO",L48=""),3,IF(V48="ESCALAR",4,IF(V48="REVISAR BACKLOG",5,0)))))))</x:f>
        <x:v>0</x:v>
      </x:c>
      <x:c r="AC48" s="194" t="str">
        <x:f>IF(AB48=0,"",COUNTIFS($AB$5:$AB$204,"&gt;0",$AB$5:$AB$204,"&lt;"&amp;AB48)+COUNTIFS($AB$5:AB48,AB48))</x:f>
      </x:c>
      <x:c r="AD48" s="194" t="n">
        <x:f>IF(AND(A48&lt;&gt;"",X48=""),1,0)</x:f>
        <x:v>0</x:v>
      </x:c>
      <x:c r="AE48" s="194" t="n">
        <x:f>IF(AND(Y48=1,X48&lt;&gt;""),1,0)</x:f>
        <x:v>0</x:v>
      </x:c>
      <x:c r="AF48" s="194" t="n">
        <x:f>IF(L48="",1,0)</x:f>
        <x:v>1</x:v>
      </x:c>
    </x:row>
    <x:row r="49">
      <x:c r="A49" s="28"/>
      <x:c r="B49" s="41"/>
      <x:c r="C49" s="28"/>
      <x:c r="D49" s="28"/>
      <x:c r="E49" s="28"/>
      <x:c r="F49" s="28"/>
      <x:c r="G49" s="28"/>
      <x:c r="H49" s="28"/>
      <x:c r="I49" s="28"/>
      <x:c r="J49" s="28"/>
      <x:c r="K49" s="54" t="str">
        <x:f>IF(OR(A49="",X49&lt;&gt;""),"",B49+INDEX(Listas!$B$6:$B$9,MATCH(H49,Listas!$A$6:$A$9,0))/24)</x:f>
      </x:c>
      <x:c r="L49" s="41"/>
      <x:c r="M49" s="55" t="str">
        <x:f>IF(A49="","",IF(X49&lt;&gt;"","DADO PENDENTE",IF(J49="Cancelado","N.A.",IF(L49&lt;&gt;"",IF(L49&lt;=K49,"ATENDIDO","ATRASADO"),IF(OR(J49="Fechado",J49="Resolvido"),"SEM EVIDÊNCIA",IF(Listas!$B$18&gt;K49,"ATRASADO","PENDENTE"))))))</x:f>
      </x:c>
      <x:c r="N49" s="54" t="str">
        <x:f>IF(OR(A49="",X49&lt;&gt;""),"",B49+INDEX(Listas!$C$6:$C$9,MATCH(H49,Listas!$A$6:$A$9,0))/24)</x:f>
      </x:c>
      <x:c r="O49" s="41"/>
      <x:c r="P49" s="55" t="str">
        <x:f>IF(A49="","",IF(X49&lt;&gt;"","DADO PENDENTE",IF(J49="Cancelado","N.A.",IF(OR(J49="Fechado",J49="Resolvido"),IF(O49&lt;=N49,"ATENDIDO","ATRASADO"),IF(Listas!$B$18&gt;N49,"ATRASADO","PENDENTE")))))</x:f>
      </x:c>
      <x:c r="Q49" s="56" t="str">
        <x:f>IF(OR(A49="",X49&lt;&gt;"",J49="Cancelado"),"",24*IF(OR(J49="Fechado",J49="Resolvido"),O49-B49,Listas!$B$18-B49))</x:f>
      </x:c>
      <x:c r="R49" s="57" t="str">
        <x:f>IF(OR(A49="",X49&lt;&gt;"",J49="Cancelado"),"",INT(IF(OR(J49="Fechado",J49="Resolvido"),O49-B49,Listas!$B$18-B49)))</x:f>
      </x:c>
      <x:c r="S49" s="58"/>
      <x:c r="T49" s="58"/>
      <x:c r="U49" s="57" t="str">
        <x:f>IF(OR(A49="",X49&lt;&gt;"",J49="Cancelado"),"",S49*T49)</x:f>
      </x:c>
      <x:c r="V49" s="55" t="str">
        <x:f>IF(A49="","",IF(X49&lt;&gt;"","CORRIGIR DADOS",IF(J49="Cancelado","CANCELADO",IF(OR(J49="Fechado",J49="Resolvido"),"CONCLUÍDO",IF(OR(P49="ATRASADO",U49&gt;=Listas!$B$16),"ESCALAR",IF(AND(M49="ATRASADO",L49=""),"RESPONDER AGORA",IF(R49&gt;=Listas!$B$14,"REVISAR BACKLOG","ACOMPANHAR")))))))</x:f>
      </x:c>
      <x:c r="W49" s="28"/>
      <x:c r="X49" s="194" t="str">
        <x:f>IF(COUNTA(A49:J49,L49,O49,S49:T49,W49)=0,"",IF(OR(NOT(ISNUMBER(Listas!$B$14)),Listas!$B$14&lt;0,NOT(ISNUMBER(Listas!$B$16)),Listas!$B$16&lt;1,COUNT(Listas!$B$6:$C$9)&lt;&gt;8,MIN(Listas!$B$6:$C$9)&lt;=0),"Parâmetros inválidos",IF(A49="","ID ausente",IF(COUNTIFS($A$5:$A$204,A49)&lt;&gt;1,"ID duplicado",IF(OR(NOT(ISNUMBER(B49)),B49&lt;=0),"Abertura inválida",IF(OR(NOT(ISNUMBER(Listas!$B$18)),Listas!$B$18&lt;=0),"Data da análise inválida",IF(B49&gt;Listas!$B$18,"Abertura após análise",IF(COUNTIFS(Listas!$A$6:$A$9,H49)&lt;&gt;1,"Prioridade inválida",IF(COUNTIFS(Equipe!$A$5:$A$12,I49)&lt;&gt;1,"Responsável inválido",IF(COUNTIFS(Listas!$E$6:$E$11,J49)&lt;&gt;1,"Status inválido",IF(AND(L49&lt;&gt;"",OR(NOT(ISNUMBER(L49)),L49&lt;B49,L49&gt;Listas!$B$18)),"Resposta inválida",IF(AND(O49&lt;&gt;"",OR(NOT(ISNUMBER(O49)),O49&lt;B49,O49&gt;Listas!$B$18)),"Resolução inválida",IF(AND(OR(J49="Fechado",J49="Resolvido"),O49=""),"Conclusão sem resolução",IF(OR(NOT(ISNUMBER(S49)),S49&lt;1,S49&gt;5,IF(ISNUMBER(S49),S49&lt;&gt;INT(S49),FALSE),NOT(ISNUMBER(T49)),T49&lt;1,T49&gt;5,IF(ISNUMBER(T49),T49&lt;&gt;INT(T49),FALSE)),"Impacto ou urgência inválido",""))))))))))))))</x:f>
      </x:c>
      <x:c r="Y49" s="194" t="n">
        <x:f>IF(AND(COUNTA(A49:J49,L49,O49,S49:T49,W49)&gt;0,OR(Listas!$B$20="Todos",I49=Listas!$B$20)),1,0)</x:f>
        <x:v>0</x:v>
      </x:c>
      <x:c r="Z49" s="194" t="n">
        <x:f>IF(AND(Y49=1,X49="",J49&lt;&gt;"Cancelado",NOT(OR(J49="Fechado",J49="Resolvido"))),1,0)</x:f>
        <x:v>0</x:v>
      </x:c>
      <x:c r="AA49" s="194" t="n">
        <x:f>IF(AND(Y49=1,X49="",OR(J49="Fechado",J49="Resolvido")),1,0)</x:f>
        <x:v>0</x:v>
      </x:c>
      <x:c r="AB49" s="194" t="n">
        <x:f>IF(Y49=0,0,IF(X49&lt;&gt;"",1,IF(Z49=0,0,IF(P49="ATRASADO",2,IF(AND(M49="ATRASADO",L49=""),3,IF(V49="ESCALAR",4,IF(V49="REVISAR BACKLOG",5,0)))))))</x:f>
        <x:v>0</x:v>
      </x:c>
      <x:c r="AC49" s="194" t="str">
        <x:f>IF(AB49=0,"",COUNTIFS($AB$5:$AB$204,"&gt;0",$AB$5:$AB$204,"&lt;"&amp;AB49)+COUNTIFS($AB$5:AB49,AB49))</x:f>
      </x:c>
      <x:c r="AD49" s="194" t="n">
        <x:f>IF(AND(A49&lt;&gt;"",X49=""),1,0)</x:f>
        <x:v>0</x:v>
      </x:c>
      <x:c r="AE49" s="194" t="n">
        <x:f>IF(AND(Y49=1,X49&lt;&gt;""),1,0)</x:f>
        <x:v>0</x:v>
      </x:c>
      <x:c r="AF49" s="194" t="n">
        <x:f>IF(L49="",1,0)</x:f>
        <x:v>1</x:v>
      </x:c>
    </x:row>
    <x:row r="50">
      <x:c r="A50" s="28"/>
      <x:c r="B50" s="41"/>
      <x:c r="C50" s="28"/>
      <x:c r="D50" s="28"/>
      <x:c r="E50" s="28"/>
      <x:c r="F50" s="28"/>
      <x:c r="G50" s="28"/>
      <x:c r="H50" s="28"/>
      <x:c r="I50" s="28"/>
      <x:c r="J50" s="28"/>
      <x:c r="K50" s="54" t="str">
        <x:f>IF(OR(A50="",X50&lt;&gt;""),"",B50+INDEX(Listas!$B$6:$B$9,MATCH(H50,Listas!$A$6:$A$9,0))/24)</x:f>
      </x:c>
      <x:c r="L50" s="41"/>
      <x:c r="M50" s="55" t="str">
        <x:f>IF(A50="","",IF(X50&lt;&gt;"","DADO PENDENTE",IF(J50="Cancelado","N.A.",IF(L50&lt;&gt;"",IF(L50&lt;=K50,"ATENDIDO","ATRASADO"),IF(OR(J50="Fechado",J50="Resolvido"),"SEM EVIDÊNCIA",IF(Listas!$B$18&gt;K50,"ATRASADO","PENDENTE"))))))</x:f>
      </x:c>
      <x:c r="N50" s="54" t="str">
        <x:f>IF(OR(A50="",X50&lt;&gt;""),"",B50+INDEX(Listas!$C$6:$C$9,MATCH(H50,Listas!$A$6:$A$9,0))/24)</x:f>
      </x:c>
      <x:c r="O50" s="41"/>
      <x:c r="P50" s="55" t="str">
        <x:f>IF(A50="","",IF(X50&lt;&gt;"","DADO PENDENTE",IF(J50="Cancelado","N.A.",IF(OR(J50="Fechado",J50="Resolvido"),IF(O50&lt;=N50,"ATENDIDO","ATRASADO"),IF(Listas!$B$18&gt;N50,"ATRASADO","PENDENTE")))))</x:f>
      </x:c>
      <x:c r="Q50" s="56" t="str">
        <x:f>IF(OR(A50="",X50&lt;&gt;"",J50="Cancelado"),"",24*IF(OR(J50="Fechado",J50="Resolvido"),O50-B50,Listas!$B$18-B50))</x:f>
      </x:c>
      <x:c r="R50" s="57" t="str">
        <x:f>IF(OR(A50="",X50&lt;&gt;"",J50="Cancelado"),"",INT(IF(OR(J50="Fechado",J50="Resolvido"),O50-B50,Listas!$B$18-B50)))</x:f>
      </x:c>
      <x:c r="S50" s="58"/>
      <x:c r="T50" s="58"/>
      <x:c r="U50" s="57" t="str">
        <x:f>IF(OR(A50="",X50&lt;&gt;"",J50="Cancelado"),"",S50*T50)</x:f>
      </x:c>
      <x:c r="V50" s="55" t="str">
        <x:f>IF(A50="","",IF(X50&lt;&gt;"","CORRIGIR DADOS",IF(J50="Cancelado","CANCELADO",IF(OR(J50="Fechado",J50="Resolvido"),"CONCLUÍDO",IF(OR(P50="ATRASADO",U50&gt;=Listas!$B$16),"ESCALAR",IF(AND(M50="ATRASADO",L50=""),"RESPONDER AGORA",IF(R50&gt;=Listas!$B$14,"REVISAR BACKLOG","ACOMPANHAR")))))))</x:f>
      </x:c>
      <x:c r="W50" s="28"/>
      <x:c r="X50" s="194" t="str">
        <x:f>IF(COUNTA(A50:J50,L50,O50,S50:T50,W50)=0,"",IF(OR(NOT(ISNUMBER(Listas!$B$14)),Listas!$B$14&lt;0,NOT(ISNUMBER(Listas!$B$16)),Listas!$B$16&lt;1,COUNT(Listas!$B$6:$C$9)&lt;&gt;8,MIN(Listas!$B$6:$C$9)&lt;=0),"Parâmetros inválidos",IF(A50="","ID ausente",IF(COUNTIFS($A$5:$A$204,A50)&lt;&gt;1,"ID duplicado",IF(OR(NOT(ISNUMBER(B50)),B50&lt;=0),"Abertura inválida",IF(OR(NOT(ISNUMBER(Listas!$B$18)),Listas!$B$18&lt;=0),"Data da análise inválida",IF(B50&gt;Listas!$B$18,"Abertura após análise",IF(COUNTIFS(Listas!$A$6:$A$9,H50)&lt;&gt;1,"Prioridade inválida",IF(COUNTIFS(Equipe!$A$5:$A$12,I50)&lt;&gt;1,"Responsável inválido",IF(COUNTIFS(Listas!$E$6:$E$11,J50)&lt;&gt;1,"Status inválido",IF(AND(L50&lt;&gt;"",OR(NOT(ISNUMBER(L50)),L50&lt;B50,L50&gt;Listas!$B$18)),"Resposta inválida",IF(AND(O50&lt;&gt;"",OR(NOT(ISNUMBER(O50)),O50&lt;B50,O50&gt;Listas!$B$18)),"Resolução inválida",IF(AND(OR(J50="Fechado",J50="Resolvido"),O50=""),"Conclusão sem resolução",IF(OR(NOT(ISNUMBER(S50)),S50&lt;1,S50&gt;5,IF(ISNUMBER(S50),S50&lt;&gt;INT(S50),FALSE),NOT(ISNUMBER(T50)),T50&lt;1,T50&gt;5,IF(ISNUMBER(T50),T50&lt;&gt;INT(T50),FALSE)),"Impacto ou urgência inválido",""))))))))))))))</x:f>
      </x:c>
      <x:c r="Y50" s="194" t="n">
        <x:f>IF(AND(COUNTA(A50:J50,L50,O50,S50:T50,W50)&gt;0,OR(Listas!$B$20="Todos",I50=Listas!$B$20)),1,0)</x:f>
        <x:v>0</x:v>
      </x:c>
      <x:c r="Z50" s="194" t="n">
        <x:f>IF(AND(Y50=1,X50="",J50&lt;&gt;"Cancelado",NOT(OR(J50="Fechado",J50="Resolvido"))),1,0)</x:f>
        <x:v>0</x:v>
      </x:c>
      <x:c r="AA50" s="194" t="n">
        <x:f>IF(AND(Y50=1,X50="",OR(J50="Fechado",J50="Resolvido")),1,0)</x:f>
        <x:v>0</x:v>
      </x:c>
      <x:c r="AB50" s="194" t="n">
        <x:f>IF(Y50=0,0,IF(X50&lt;&gt;"",1,IF(Z50=0,0,IF(P50="ATRASADO",2,IF(AND(M50="ATRASADO",L50=""),3,IF(V50="ESCALAR",4,IF(V50="REVISAR BACKLOG",5,0)))))))</x:f>
        <x:v>0</x:v>
      </x:c>
      <x:c r="AC50" s="194" t="str">
        <x:f>IF(AB50=0,"",COUNTIFS($AB$5:$AB$204,"&gt;0",$AB$5:$AB$204,"&lt;"&amp;AB50)+COUNTIFS($AB$5:AB50,AB50))</x:f>
      </x:c>
      <x:c r="AD50" s="194" t="n">
        <x:f>IF(AND(A50&lt;&gt;"",X50=""),1,0)</x:f>
        <x:v>0</x:v>
      </x:c>
      <x:c r="AE50" s="194" t="n">
        <x:f>IF(AND(Y50=1,X50&lt;&gt;""),1,0)</x:f>
        <x:v>0</x:v>
      </x:c>
      <x:c r="AF50" s="194" t="n">
        <x:f>IF(L50="",1,0)</x:f>
        <x:v>1</x:v>
      </x:c>
    </x:row>
    <x:row r="51">
      <x:c r="A51" s="28"/>
      <x:c r="B51" s="41"/>
      <x:c r="C51" s="28"/>
      <x:c r="D51" s="28"/>
      <x:c r="E51" s="28"/>
      <x:c r="F51" s="28"/>
      <x:c r="G51" s="28"/>
      <x:c r="H51" s="28"/>
      <x:c r="I51" s="28"/>
      <x:c r="J51" s="28"/>
      <x:c r="K51" s="54" t="str">
        <x:f>IF(OR(A51="",X51&lt;&gt;""),"",B51+INDEX(Listas!$B$6:$B$9,MATCH(H51,Listas!$A$6:$A$9,0))/24)</x:f>
      </x:c>
      <x:c r="L51" s="41"/>
      <x:c r="M51" s="55" t="str">
        <x:f>IF(A51="","",IF(X51&lt;&gt;"","DADO PENDENTE",IF(J51="Cancelado","N.A.",IF(L51&lt;&gt;"",IF(L51&lt;=K51,"ATENDIDO","ATRASADO"),IF(OR(J51="Fechado",J51="Resolvido"),"SEM EVIDÊNCIA",IF(Listas!$B$18&gt;K51,"ATRASADO","PENDENTE"))))))</x:f>
      </x:c>
      <x:c r="N51" s="54" t="str">
        <x:f>IF(OR(A51="",X51&lt;&gt;""),"",B51+INDEX(Listas!$C$6:$C$9,MATCH(H51,Listas!$A$6:$A$9,0))/24)</x:f>
      </x:c>
      <x:c r="O51" s="41"/>
      <x:c r="P51" s="55" t="str">
        <x:f>IF(A51="","",IF(X51&lt;&gt;"","DADO PENDENTE",IF(J51="Cancelado","N.A.",IF(OR(J51="Fechado",J51="Resolvido"),IF(O51&lt;=N51,"ATENDIDO","ATRASADO"),IF(Listas!$B$18&gt;N51,"ATRASADO","PENDENTE")))))</x:f>
      </x:c>
      <x:c r="Q51" s="56" t="str">
        <x:f>IF(OR(A51="",X51&lt;&gt;"",J51="Cancelado"),"",24*IF(OR(J51="Fechado",J51="Resolvido"),O51-B51,Listas!$B$18-B51))</x:f>
      </x:c>
      <x:c r="R51" s="57" t="str">
        <x:f>IF(OR(A51="",X51&lt;&gt;"",J51="Cancelado"),"",INT(IF(OR(J51="Fechado",J51="Resolvido"),O51-B51,Listas!$B$18-B51)))</x:f>
      </x:c>
      <x:c r="S51" s="58"/>
      <x:c r="T51" s="58"/>
      <x:c r="U51" s="57" t="str">
        <x:f>IF(OR(A51="",X51&lt;&gt;"",J51="Cancelado"),"",S51*T51)</x:f>
      </x:c>
      <x:c r="V51" s="55" t="str">
        <x:f>IF(A51="","",IF(X51&lt;&gt;"","CORRIGIR DADOS",IF(J51="Cancelado","CANCELADO",IF(OR(J51="Fechado",J51="Resolvido"),"CONCLUÍDO",IF(OR(P51="ATRASADO",U51&gt;=Listas!$B$16),"ESCALAR",IF(AND(M51="ATRASADO",L51=""),"RESPONDER AGORA",IF(R51&gt;=Listas!$B$14,"REVISAR BACKLOG","ACOMPANHAR")))))))</x:f>
      </x:c>
      <x:c r="W51" s="28"/>
      <x:c r="X51" s="194" t="str">
        <x:f>IF(COUNTA(A51:J51,L51,O51,S51:T51,W51)=0,"",IF(OR(NOT(ISNUMBER(Listas!$B$14)),Listas!$B$14&lt;0,NOT(ISNUMBER(Listas!$B$16)),Listas!$B$16&lt;1,COUNT(Listas!$B$6:$C$9)&lt;&gt;8,MIN(Listas!$B$6:$C$9)&lt;=0),"Parâmetros inválidos",IF(A51="","ID ausente",IF(COUNTIFS($A$5:$A$204,A51)&lt;&gt;1,"ID duplicado",IF(OR(NOT(ISNUMBER(B51)),B51&lt;=0),"Abertura inválida",IF(OR(NOT(ISNUMBER(Listas!$B$18)),Listas!$B$18&lt;=0),"Data da análise inválida",IF(B51&gt;Listas!$B$18,"Abertura após análise",IF(COUNTIFS(Listas!$A$6:$A$9,H51)&lt;&gt;1,"Prioridade inválida",IF(COUNTIFS(Equipe!$A$5:$A$12,I51)&lt;&gt;1,"Responsável inválido",IF(COUNTIFS(Listas!$E$6:$E$11,J51)&lt;&gt;1,"Status inválido",IF(AND(L51&lt;&gt;"",OR(NOT(ISNUMBER(L51)),L51&lt;B51,L51&gt;Listas!$B$18)),"Resposta inválida",IF(AND(O51&lt;&gt;"",OR(NOT(ISNUMBER(O51)),O51&lt;B51,O51&gt;Listas!$B$18)),"Resolução inválida",IF(AND(OR(J51="Fechado",J51="Resolvido"),O51=""),"Conclusão sem resolução",IF(OR(NOT(ISNUMBER(S51)),S51&lt;1,S51&gt;5,IF(ISNUMBER(S51),S51&lt;&gt;INT(S51),FALSE),NOT(ISNUMBER(T51)),T51&lt;1,T51&gt;5,IF(ISNUMBER(T51),T51&lt;&gt;INT(T51),FALSE)),"Impacto ou urgência inválido",""))))))))))))))</x:f>
      </x:c>
      <x:c r="Y51" s="194" t="n">
        <x:f>IF(AND(COUNTA(A51:J51,L51,O51,S51:T51,W51)&gt;0,OR(Listas!$B$20="Todos",I51=Listas!$B$20)),1,0)</x:f>
        <x:v>0</x:v>
      </x:c>
      <x:c r="Z51" s="194" t="n">
        <x:f>IF(AND(Y51=1,X51="",J51&lt;&gt;"Cancelado",NOT(OR(J51="Fechado",J51="Resolvido"))),1,0)</x:f>
        <x:v>0</x:v>
      </x:c>
      <x:c r="AA51" s="194" t="n">
        <x:f>IF(AND(Y51=1,X51="",OR(J51="Fechado",J51="Resolvido")),1,0)</x:f>
        <x:v>0</x:v>
      </x:c>
      <x:c r="AB51" s="194" t="n">
        <x:f>IF(Y51=0,0,IF(X51&lt;&gt;"",1,IF(Z51=0,0,IF(P51="ATRASADO",2,IF(AND(M51="ATRASADO",L51=""),3,IF(V51="ESCALAR",4,IF(V51="REVISAR BACKLOG",5,0)))))))</x:f>
        <x:v>0</x:v>
      </x:c>
      <x:c r="AC51" s="194" t="str">
        <x:f>IF(AB51=0,"",COUNTIFS($AB$5:$AB$204,"&gt;0",$AB$5:$AB$204,"&lt;"&amp;AB51)+COUNTIFS($AB$5:AB51,AB51))</x:f>
      </x:c>
      <x:c r="AD51" s="194" t="n">
        <x:f>IF(AND(A51&lt;&gt;"",X51=""),1,0)</x:f>
        <x:v>0</x:v>
      </x:c>
      <x:c r="AE51" s="194" t="n">
        <x:f>IF(AND(Y51=1,X51&lt;&gt;""),1,0)</x:f>
        <x:v>0</x:v>
      </x:c>
      <x:c r="AF51" s="194" t="n">
        <x:f>IF(L51="",1,0)</x:f>
        <x:v>1</x:v>
      </x:c>
    </x:row>
    <x:row r="52">
      <x:c r="A52" s="28"/>
      <x:c r="B52" s="41"/>
      <x:c r="C52" s="28"/>
      <x:c r="D52" s="28"/>
      <x:c r="E52" s="28"/>
      <x:c r="F52" s="28"/>
      <x:c r="G52" s="28"/>
      <x:c r="H52" s="28"/>
      <x:c r="I52" s="28"/>
      <x:c r="J52" s="28"/>
      <x:c r="K52" s="54" t="str">
        <x:f>IF(OR(A52="",X52&lt;&gt;""),"",B52+INDEX(Listas!$B$6:$B$9,MATCH(H52,Listas!$A$6:$A$9,0))/24)</x:f>
      </x:c>
      <x:c r="L52" s="41"/>
      <x:c r="M52" s="55" t="str">
        <x:f>IF(A52="","",IF(X52&lt;&gt;"","DADO PENDENTE",IF(J52="Cancelado","N.A.",IF(L52&lt;&gt;"",IF(L52&lt;=K52,"ATENDIDO","ATRASADO"),IF(OR(J52="Fechado",J52="Resolvido"),"SEM EVIDÊNCIA",IF(Listas!$B$18&gt;K52,"ATRASADO","PENDENTE"))))))</x:f>
      </x:c>
      <x:c r="N52" s="54" t="str">
        <x:f>IF(OR(A52="",X52&lt;&gt;""),"",B52+INDEX(Listas!$C$6:$C$9,MATCH(H52,Listas!$A$6:$A$9,0))/24)</x:f>
      </x:c>
      <x:c r="O52" s="41"/>
      <x:c r="P52" s="55" t="str">
        <x:f>IF(A52="","",IF(X52&lt;&gt;"","DADO PENDENTE",IF(J52="Cancelado","N.A.",IF(OR(J52="Fechado",J52="Resolvido"),IF(O52&lt;=N52,"ATENDIDO","ATRASADO"),IF(Listas!$B$18&gt;N52,"ATRASADO","PENDENTE")))))</x:f>
      </x:c>
      <x:c r="Q52" s="56" t="str">
        <x:f>IF(OR(A52="",X52&lt;&gt;"",J52="Cancelado"),"",24*IF(OR(J52="Fechado",J52="Resolvido"),O52-B52,Listas!$B$18-B52))</x:f>
      </x:c>
      <x:c r="R52" s="57" t="str">
        <x:f>IF(OR(A52="",X52&lt;&gt;"",J52="Cancelado"),"",INT(IF(OR(J52="Fechado",J52="Resolvido"),O52-B52,Listas!$B$18-B52)))</x:f>
      </x:c>
      <x:c r="S52" s="58"/>
      <x:c r="T52" s="58"/>
      <x:c r="U52" s="57" t="str">
        <x:f>IF(OR(A52="",X52&lt;&gt;"",J52="Cancelado"),"",S52*T52)</x:f>
      </x:c>
      <x:c r="V52" s="55" t="str">
        <x:f>IF(A52="","",IF(X52&lt;&gt;"","CORRIGIR DADOS",IF(J52="Cancelado","CANCELADO",IF(OR(J52="Fechado",J52="Resolvido"),"CONCLUÍDO",IF(OR(P52="ATRASADO",U52&gt;=Listas!$B$16),"ESCALAR",IF(AND(M52="ATRASADO",L52=""),"RESPONDER AGORA",IF(R52&gt;=Listas!$B$14,"REVISAR BACKLOG","ACOMPANHAR")))))))</x:f>
      </x:c>
      <x:c r="W52" s="28"/>
      <x:c r="X52" s="194" t="str">
        <x:f>IF(COUNTA(A52:J52,L52,O52,S52:T52,W52)=0,"",IF(OR(NOT(ISNUMBER(Listas!$B$14)),Listas!$B$14&lt;0,NOT(ISNUMBER(Listas!$B$16)),Listas!$B$16&lt;1,COUNT(Listas!$B$6:$C$9)&lt;&gt;8,MIN(Listas!$B$6:$C$9)&lt;=0),"Parâmetros inválidos",IF(A52="","ID ausente",IF(COUNTIFS($A$5:$A$204,A52)&lt;&gt;1,"ID duplicado",IF(OR(NOT(ISNUMBER(B52)),B52&lt;=0),"Abertura inválida",IF(OR(NOT(ISNUMBER(Listas!$B$18)),Listas!$B$18&lt;=0),"Data da análise inválida",IF(B52&gt;Listas!$B$18,"Abertura após análise",IF(COUNTIFS(Listas!$A$6:$A$9,H52)&lt;&gt;1,"Prioridade inválida",IF(COUNTIFS(Equipe!$A$5:$A$12,I52)&lt;&gt;1,"Responsável inválido",IF(COUNTIFS(Listas!$E$6:$E$11,J52)&lt;&gt;1,"Status inválido",IF(AND(L52&lt;&gt;"",OR(NOT(ISNUMBER(L52)),L52&lt;B52,L52&gt;Listas!$B$18)),"Resposta inválida",IF(AND(O52&lt;&gt;"",OR(NOT(ISNUMBER(O52)),O52&lt;B52,O52&gt;Listas!$B$18)),"Resolução inválida",IF(AND(OR(J52="Fechado",J52="Resolvido"),O52=""),"Conclusão sem resolução",IF(OR(NOT(ISNUMBER(S52)),S52&lt;1,S52&gt;5,IF(ISNUMBER(S52),S52&lt;&gt;INT(S52),FALSE),NOT(ISNUMBER(T52)),T52&lt;1,T52&gt;5,IF(ISNUMBER(T52),T52&lt;&gt;INT(T52),FALSE)),"Impacto ou urgência inválido",""))))))))))))))</x:f>
      </x:c>
      <x:c r="Y52" s="194" t="n">
        <x:f>IF(AND(COUNTA(A52:J52,L52,O52,S52:T52,W52)&gt;0,OR(Listas!$B$20="Todos",I52=Listas!$B$20)),1,0)</x:f>
        <x:v>0</x:v>
      </x:c>
      <x:c r="Z52" s="194" t="n">
        <x:f>IF(AND(Y52=1,X52="",J52&lt;&gt;"Cancelado",NOT(OR(J52="Fechado",J52="Resolvido"))),1,0)</x:f>
        <x:v>0</x:v>
      </x:c>
      <x:c r="AA52" s="194" t="n">
        <x:f>IF(AND(Y52=1,X52="",OR(J52="Fechado",J52="Resolvido")),1,0)</x:f>
        <x:v>0</x:v>
      </x:c>
      <x:c r="AB52" s="194" t="n">
        <x:f>IF(Y52=0,0,IF(X52&lt;&gt;"",1,IF(Z52=0,0,IF(P52="ATRASADO",2,IF(AND(M52="ATRASADO",L52=""),3,IF(V52="ESCALAR",4,IF(V52="REVISAR BACKLOG",5,0)))))))</x:f>
        <x:v>0</x:v>
      </x:c>
      <x:c r="AC52" s="194" t="str">
        <x:f>IF(AB52=0,"",COUNTIFS($AB$5:$AB$204,"&gt;0",$AB$5:$AB$204,"&lt;"&amp;AB52)+COUNTIFS($AB$5:AB52,AB52))</x:f>
      </x:c>
      <x:c r="AD52" s="194" t="n">
        <x:f>IF(AND(A52&lt;&gt;"",X52=""),1,0)</x:f>
        <x:v>0</x:v>
      </x:c>
      <x:c r="AE52" s="194" t="n">
        <x:f>IF(AND(Y52=1,X52&lt;&gt;""),1,0)</x:f>
        <x:v>0</x:v>
      </x:c>
      <x:c r="AF52" s="194" t="n">
        <x:f>IF(L52="",1,0)</x:f>
        <x:v>1</x:v>
      </x:c>
    </x:row>
    <x:row r="53">
      <x:c r="A53" s="28"/>
      <x:c r="B53" s="41"/>
      <x:c r="C53" s="28"/>
      <x:c r="D53" s="28"/>
      <x:c r="E53" s="28"/>
      <x:c r="F53" s="28"/>
      <x:c r="G53" s="28"/>
      <x:c r="H53" s="28"/>
      <x:c r="I53" s="28"/>
      <x:c r="J53" s="28"/>
      <x:c r="K53" s="54" t="str">
        <x:f>IF(OR(A53="",X53&lt;&gt;""),"",B53+INDEX(Listas!$B$6:$B$9,MATCH(H53,Listas!$A$6:$A$9,0))/24)</x:f>
      </x:c>
      <x:c r="L53" s="41"/>
      <x:c r="M53" s="55" t="str">
        <x:f>IF(A53="","",IF(X53&lt;&gt;"","DADO PENDENTE",IF(J53="Cancelado","N.A.",IF(L53&lt;&gt;"",IF(L53&lt;=K53,"ATENDIDO","ATRASADO"),IF(OR(J53="Fechado",J53="Resolvido"),"SEM EVIDÊNCIA",IF(Listas!$B$18&gt;K53,"ATRASADO","PENDENTE"))))))</x:f>
      </x:c>
      <x:c r="N53" s="54" t="str">
        <x:f>IF(OR(A53="",X53&lt;&gt;""),"",B53+INDEX(Listas!$C$6:$C$9,MATCH(H53,Listas!$A$6:$A$9,0))/24)</x:f>
      </x:c>
      <x:c r="O53" s="41"/>
      <x:c r="P53" s="55" t="str">
        <x:f>IF(A53="","",IF(X53&lt;&gt;"","DADO PENDENTE",IF(J53="Cancelado","N.A.",IF(OR(J53="Fechado",J53="Resolvido"),IF(O53&lt;=N53,"ATENDIDO","ATRASADO"),IF(Listas!$B$18&gt;N53,"ATRASADO","PENDENTE")))))</x:f>
      </x:c>
      <x:c r="Q53" s="56" t="str">
        <x:f>IF(OR(A53="",X53&lt;&gt;"",J53="Cancelado"),"",24*IF(OR(J53="Fechado",J53="Resolvido"),O53-B53,Listas!$B$18-B53))</x:f>
      </x:c>
      <x:c r="R53" s="57" t="str">
        <x:f>IF(OR(A53="",X53&lt;&gt;"",J53="Cancelado"),"",INT(IF(OR(J53="Fechado",J53="Resolvido"),O53-B53,Listas!$B$18-B53)))</x:f>
      </x:c>
      <x:c r="S53" s="58"/>
      <x:c r="T53" s="58"/>
      <x:c r="U53" s="57" t="str">
        <x:f>IF(OR(A53="",X53&lt;&gt;"",J53="Cancelado"),"",S53*T53)</x:f>
      </x:c>
      <x:c r="V53" s="55" t="str">
        <x:f>IF(A53="","",IF(X53&lt;&gt;"","CORRIGIR DADOS",IF(J53="Cancelado","CANCELADO",IF(OR(J53="Fechado",J53="Resolvido"),"CONCLUÍDO",IF(OR(P53="ATRASADO",U53&gt;=Listas!$B$16),"ESCALAR",IF(AND(M53="ATRASADO",L53=""),"RESPONDER AGORA",IF(R53&gt;=Listas!$B$14,"REVISAR BACKLOG","ACOMPANHAR")))))))</x:f>
      </x:c>
      <x:c r="W53" s="28"/>
      <x:c r="X53" s="194" t="str">
        <x:f>IF(COUNTA(A53:J53,L53,O53,S53:T53,W53)=0,"",IF(OR(NOT(ISNUMBER(Listas!$B$14)),Listas!$B$14&lt;0,NOT(ISNUMBER(Listas!$B$16)),Listas!$B$16&lt;1,COUNT(Listas!$B$6:$C$9)&lt;&gt;8,MIN(Listas!$B$6:$C$9)&lt;=0),"Parâmetros inválidos",IF(A53="","ID ausente",IF(COUNTIFS($A$5:$A$204,A53)&lt;&gt;1,"ID duplicado",IF(OR(NOT(ISNUMBER(B53)),B53&lt;=0),"Abertura inválida",IF(OR(NOT(ISNUMBER(Listas!$B$18)),Listas!$B$18&lt;=0),"Data da análise inválida",IF(B53&gt;Listas!$B$18,"Abertura após análise",IF(COUNTIFS(Listas!$A$6:$A$9,H53)&lt;&gt;1,"Prioridade inválida",IF(COUNTIFS(Equipe!$A$5:$A$12,I53)&lt;&gt;1,"Responsável inválido",IF(COUNTIFS(Listas!$E$6:$E$11,J53)&lt;&gt;1,"Status inválido",IF(AND(L53&lt;&gt;"",OR(NOT(ISNUMBER(L53)),L53&lt;B53,L53&gt;Listas!$B$18)),"Resposta inválida",IF(AND(O53&lt;&gt;"",OR(NOT(ISNUMBER(O53)),O53&lt;B53,O53&gt;Listas!$B$18)),"Resolução inválida",IF(AND(OR(J53="Fechado",J53="Resolvido"),O53=""),"Conclusão sem resolução",IF(OR(NOT(ISNUMBER(S53)),S53&lt;1,S53&gt;5,IF(ISNUMBER(S53),S53&lt;&gt;INT(S53),FALSE),NOT(ISNUMBER(T53)),T53&lt;1,T53&gt;5,IF(ISNUMBER(T53),T53&lt;&gt;INT(T53),FALSE)),"Impacto ou urgência inválido",""))))))))))))))</x:f>
      </x:c>
      <x:c r="Y53" s="194" t="n">
        <x:f>IF(AND(COUNTA(A53:J53,L53,O53,S53:T53,W53)&gt;0,OR(Listas!$B$20="Todos",I53=Listas!$B$20)),1,0)</x:f>
        <x:v>0</x:v>
      </x:c>
      <x:c r="Z53" s="194" t="n">
        <x:f>IF(AND(Y53=1,X53="",J53&lt;&gt;"Cancelado",NOT(OR(J53="Fechado",J53="Resolvido"))),1,0)</x:f>
        <x:v>0</x:v>
      </x:c>
      <x:c r="AA53" s="194" t="n">
        <x:f>IF(AND(Y53=1,X53="",OR(J53="Fechado",J53="Resolvido")),1,0)</x:f>
        <x:v>0</x:v>
      </x:c>
      <x:c r="AB53" s="194" t="n">
        <x:f>IF(Y53=0,0,IF(X53&lt;&gt;"",1,IF(Z53=0,0,IF(P53="ATRASADO",2,IF(AND(M53="ATRASADO",L53=""),3,IF(V53="ESCALAR",4,IF(V53="REVISAR BACKLOG",5,0)))))))</x:f>
        <x:v>0</x:v>
      </x:c>
      <x:c r="AC53" s="194" t="str">
        <x:f>IF(AB53=0,"",COUNTIFS($AB$5:$AB$204,"&gt;0",$AB$5:$AB$204,"&lt;"&amp;AB53)+COUNTIFS($AB$5:AB53,AB53))</x:f>
      </x:c>
      <x:c r="AD53" s="194" t="n">
        <x:f>IF(AND(A53&lt;&gt;"",X53=""),1,0)</x:f>
        <x:v>0</x:v>
      </x:c>
      <x:c r="AE53" s="194" t="n">
        <x:f>IF(AND(Y53=1,X53&lt;&gt;""),1,0)</x:f>
        <x:v>0</x:v>
      </x:c>
      <x:c r="AF53" s="194" t="n">
        <x:f>IF(L53="",1,0)</x:f>
        <x:v>1</x:v>
      </x:c>
    </x:row>
    <x:row r="54">
      <x:c r="A54" s="28"/>
      <x:c r="B54" s="41"/>
      <x:c r="C54" s="28"/>
      <x:c r="D54" s="28"/>
      <x:c r="E54" s="28"/>
      <x:c r="F54" s="28"/>
      <x:c r="G54" s="28"/>
      <x:c r="H54" s="28"/>
      <x:c r="I54" s="28"/>
      <x:c r="J54" s="28"/>
      <x:c r="K54" s="54" t="str">
        <x:f>IF(OR(A54="",X54&lt;&gt;""),"",B54+INDEX(Listas!$B$6:$B$9,MATCH(H54,Listas!$A$6:$A$9,0))/24)</x:f>
      </x:c>
      <x:c r="L54" s="41"/>
      <x:c r="M54" s="55" t="str">
        <x:f>IF(A54="","",IF(X54&lt;&gt;"","DADO PENDENTE",IF(J54="Cancelado","N.A.",IF(L54&lt;&gt;"",IF(L54&lt;=K54,"ATENDIDO","ATRASADO"),IF(OR(J54="Fechado",J54="Resolvido"),"SEM EVIDÊNCIA",IF(Listas!$B$18&gt;K54,"ATRASADO","PENDENTE"))))))</x:f>
      </x:c>
      <x:c r="N54" s="54" t="str">
        <x:f>IF(OR(A54="",X54&lt;&gt;""),"",B54+INDEX(Listas!$C$6:$C$9,MATCH(H54,Listas!$A$6:$A$9,0))/24)</x:f>
      </x:c>
      <x:c r="O54" s="41"/>
      <x:c r="P54" s="55" t="str">
        <x:f>IF(A54="","",IF(X54&lt;&gt;"","DADO PENDENTE",IF(J54="Cancelado","N.A.",IF(OR(J54="Fechado",J54="Resolvido"),IF(O54&lt;=N54,"ATENDIDO","ATRASADO"),IF(Listas!$B$18&gt;N54,"ATRASADO","PENDENTE")))))</x:f>
      </x:c>
      <x:c r="Q54" s="56" t="str">
        <x:f>IF(OR(A54="",X54&lt;&gt;"",J54="Cancelado"),"",24*IF(OR(J54="Fechado",J54="Resolvido"),O54-B54,Listas!$B$18-B54))</x:f>
      </x:c>
      <x:c r="R54" s="57" t="str">
        <x:f>IF(OR(A54="",X54&lt;&gt;"",J54="Cancelado"),"",INT(IF(OR(J54="Fechado",J54="Resolvido"),O54-B54,Listas!$B$18-B54)))</x:f>
      </x:c>
      <x:c r="S54" s="58"/>
      <x:c r="T54" s="58"/>
      <x:c r="U54" s="57" t="str">
        <x:f>IF(OR(A54="",X54&lt;&gt;"",J54="Cancelado"),"",S54*T54)</x:f>
      </x:c>
      <x:c r="V54" s="55" t="str">
        <x:f>IF(A54="","",IF(X54&lt;&gt;"","CORRIGIR DADOS",IF(J54="Cancelado","CANCELADO",IF(OR(J54="Fechado",J54="Resolvido"),"CONCLUÍDO",IF(OR(P54="ATRASADO",U54&gt;=Listas!$B$16),"ESCALAR",IF(AND(M54="ATRASADO",L54=""),"RESPONDER AGORA",IF(R54&gt;=Listas!$B$14,"REVISAR BACKLOG","ACOMPANHAR")))))))</x:f>
      </x:c>
      <x:c r="W54" s="28"/>
      <x:c r="X54" s="194" t="str">
        <x:f>IF(COUNTA(A54:J54,L54,O54,S54:T54,W54)=0,"",IF(OR(NOT(ISNUMBER(Listas!$B$14)),Listas!$B$14&lt;0,NOT(ISNUMBER(Listas!$B$16)),Listas!$B$16&lt;1,COUNT(Listas!$B$6:$C$9)&lt;&gt;8,MIN(Listas!$B$6:$C$9)&lt;=0),"Parâmetros inválidos",IF(A54="","ID ausente",IF(COUNTIFS($A$5:$A$204,A54)&lt;&gt;1,"ID duplicado",IF(OR(NOT(ISNUMBER(B54)),B54&lt;=0),"Abertura inválida",IF(OR(NOT(ISNUMBER(Listas!$B$18)),Listas!$B$18&lt;=0),"Data da análise inválida",IF(B54&gt;Listas!$B$18,"Abertura após análise",IF(COUNTIFS(Listas!$A$6:$A$9,H54)&lt;&gt;1,"Prioridade inválida",IF(COUNTIFS(Equipe!$A$5:$A$12,I54)&lt;&gt;1,"Responsável inválido",IF(COUNTIFS(Listas!$E$6:$E$11,J54)&lt;&gt;1,"Status inválido",IF(AND(L54&lt;&gt;"",OR(NOT(ISNUMBER(L54)),L54&lt;B54,L54&gt;Listas!$B$18)),"Resposta inválida",IF(AND(O54&lt;&gt;"",OR(NOT(ISNUMBER(O54)),O54&lt;B54,O54&gt;Listas!$B$18)),"Resolução inválida",IF(AND(OR(J54="Fechado",J54="Resolvido"),O54=""),"Conclusão sem resolução",IF(OR(NOT(ISNUMBER(S54)),S54&lt;1,S54&gt;5,IF(ISNUMBER(S54),S54&lt;&gt;INT(S54),FALSE),NOT(ISNUMBER(T54)),T54&lt;1,T54&gt;5,IF(ISNUMBER(T54),T54&lt;&gt;INT(T54),FALSE)),"Impacto ou urgência inválido",""))))))))))))))</x:f>
      </x:c>
      <x:c r="Y54" s="194" t="n">
        <x:f>IF(AND(COUNTA(A54:J54,L54,O54,S54:T54,W54)&gt;0,OR(Listas!$B$20="Todos",I54=Listas!$B$20)),1,0)</x:f>
        <x:v>0</x:v>
      </x:c>
      <x:c r="Z54" s="194" t="n">
        <x:f>IF(AND(Y54=1,X54="",J54&lt;&gt;"Cancelado",NOT(OR(J54="Fechado",J54="Resolvido"))),1,0)</x:f>
        <x:v>0</x:v>
      </x:c>
      <x:c r="AA54" s="194" t="n">
        <x:f>IF(AND(Y54=1,X54="",OR(J54="Fechado",J54="Resolvido")),1,0)</x:f>
        <x:v>0</x:v>
      </x:c>
      <x:c r="AB54" s="194" t="n">
        <x:f>IF(Y54=0,0,IF(X54&lt;&gt;"",1,IF(Z54=0,0,IF(P54="ATRASADO",2,IF(AND(M54="ATRASADO",L54=""),3,IF(V54="ESCALAR",4,IF(V54="REVISAR BACKLOG",5,0)))))))</x:f>
        <x:v>0</x:v>
      </x:c>
      <x:c r="AC54" s="194" t="str">
        <x:f>IF(AB54=0,"",COUNTIFS($AB$5:$AB$204,"&gt;0",$AB$5:$AB$204,"&lt;"&amp;AB54)+COUNTIFS($AB$5:AB54,AB54))</x:f>
      </x:c>
      <x:c r="AD54" s="194" t="n">
        <x:f>IF(AND(A54&lt;&gt;"",X54=""),1,0)</x:f>
        <x:v>0</x:v>
      </x:c>
      <x:c r="AE54" s="194" t="n">
        <x:f>IF(AND(Y54=1,X54&lt;&gt;""),1,0)</x:f>
        <x:v>0</x:v>
      </x:c>
      <x:c r="AF54" s="194" t="n">
        <x:f>IF(L54="",1,0)</x:f>
        <x:v>1</x:v>
      </x:c>
    </x:row>
    <x:row r="55">
      <x:c r="A55" s="28"/>
      <x:c r="B55" s="41"/>
      <x:c r="C55" s="28"/>
      <x:c r="D55" s="28"/>
      <x:c r="E55" s="28"/>
      <x:c r="F55" s="28"/>
      <x:c r="G55" s="28"/>
      <x:c r="H55" s="28"/>
      <x:c r="I55" s="28"/>
      <x:c r="J55" s="28"/>
      <x:c r="K55" s="54" t="str">
        <x:f>IF(OR(A55="",X55&lt;&gt;""),"",B55+INDEX(Listas!$B$6:$B$9,MATCH(H55,Listas!$A$6:$A$9,0))/24)</x:f>
      </x:c>
      <x:c r="L55" s="41"/>
      <x:c r="M55" s="55" t="str">
        <x:f>IF(A55="","",IF(X55&lt;&gt;"","DADO PENDENTE",IF(J55="Cancelado","N.A.",IF(L55&lt;&gt;"",IF(L55&lt;=K55,"ATENDIDO","ATRASADO"),IF(OR(J55="Fechado",J55="Resolvido"),"SEM EVIDÊNCIA",IF(Listas!$B$18&gt;K55,"ATRASADO","PENDENTE"))))))</x:f>
      </x:c>
      <x:c r="N55" s="54" t="str">
        <x:f>IF(OR(A55="",X55&lt;&gt;""),"",B55+INDEX(Listas!$C$6:$C$9,MATCH(H55,Listas!$A$6:$A$9,0))/24)</x:f>
      </x:c>
      <x:c r="O55" s="41"/>
      <x:c r="P55" s="55" t="str">
        <x:f>IF(A55="","",IF(X55&lt;&gt;"","DADO PENDENTE",IF(J55="Cancelado","N.A.",IF(OR(J55="Fechado",J55="Resolvido"),IF(O55&lt;=N55,"ATENDIDO","ATRASADO"),IF(Listas!$B$18&gt;N55,"ATRASADO","PENDENTE")))))</x:f>
      </x:c>
      <x:c r="Q55" s="56" t="str">
        <x:f>IF(OR(A55="",X55&lt;&gt;"",J55="Cancelado"),"",24*IF(OR(J55="Fechado",J55="Resolvido"),O55-B55,Listas!$B$18-B55))</x:f>
      </x:c>
      <x:c r="R55" s="57" t="str">
        <x:f>IF(OR(A55="",X55&lt;&gt;"",J55="Cancelado"),"",INT(IF(OR(J55="Fechado",J55="Resolvido"),O55-B55,Listas!$B$18-B55)))</x:f>
      </x:c>
      <x:c r="S55" s="58"/>
      <x:c r="T55" s="58"/>
      <x:c r="U55" s="57" t="str">
        <x:f>IF(OR(A55="",X55&lt;&gt;"",J55="Cancelado"),"",S55*T55)</x:f>
      </x:c>
      <x:c r="V55" s="55" t="str">
        <x:f>IF(A55="","",IF(X55&lt;&gt;"","CORRIGIR DADOS",IF(J55="Cancelado","CANCELADO",IF(OR(J55="Fechado",J55="Resolvido"),"CONCLUÍDO",IF(OR(P55="ATRASADO",U55&gt;=Listas!$B$16),"ESCALAR",IF(AND(M55="ATRASADO",L55=""),"RESPONDER AGORA",IF(R55&gt;=Listas!$B$14,"REVISAR BACKLOG","ACOMPANHAR")))))))</x:f>
      </x:c>
      <x:c r="W55" s="28"/>
      <x:c r="X55" s="194" t="str">
        <x:f>IF(COUNTA(A55:J55,L55,O55,S55:T55,W55)=0,"",IF(OR(NOT(ISNUMBER(Listas!$B$14)),Listas!$B$14&lt;0,NOT(ISNUMBER(Listas!$B$16)),Listas!$B$16&lt;1,COUNT(Listas!$B$6:$C$9)&lt;&gt;8,MIN(Listas!$B$6:$C$9)&lt;=0),"Parâmetros inválidos",IF(A55="","ID ausente",IF(COUNTIFS($A$5:$A$204,A55)&lt;&gt;1,"ID duplicado",IF(OR(NOT(ISNUMBER(B55)),B55&lt;=0),"Abertura inválida",IF(OR(NOT(ISNUMBER(Listas!$B$18)),Listas!$B$18&lt;=0),"Data da análise inválida",IF(B55&gt;Listas!$B$18,"Abertura após análise",IF(COUNTIFS(Listas!$A$6:$A$9,H55)&lt;&gt;1,"Prioridade inválida",IF(COUNTIFS(Equipe!$A$5:$A$12,I55)&lt;&gt;1,"Responsável inválido",IF(COUNTIFS(Listas!$E$6:$E$11,J55)&lt;&gt;1,"Status inválido",IF(AND(L55&lt;&gt;"",OR(NOT(ISNUMBER(L55)),L55&lt;B55,L55&gt;Listas!$B$18)),"Resposta inválida",IF(AND(O55&lt;&gt;"",OR(NOT(ISNUMBER(O55)),O55&lt;B55,O55&gt;Listas!$B$18)),"Resolução inválida",IF(AND(OR(J55="Fechado",J55="Resolvido"),O55=""),"Conclusão sem resolução",IF(OR(NOT(ISNUMBER(S55)),S55&lt;1,S55&gt;5,IF(ISNUMBER(S55),S55&lt;&gt;INT(S55),FALSE),NOT(ISNUMBER(T55)),T55&lt;1,T55&gt;5,IF(ISNUMBER(T55),T55&lt;&gt;INT(T55),FALSE)),"Impacto ou urgência inválido",""))))))))))))))</x:f>
      </x:c>
      <x:c r="Y55" s="194" t="n">
        <x:f>IF(AND(COUNTA(A55:J55,L55,O55,S55:T55,W55)&gt;0,OR(Listas!$B$20="Todos",I55=Listas!$B$20)),1,0)</x:f>
        <x:v>0</x:v>
      </x:c>
      <x:c r="Z55" s="194" t="n">
        <x:f>IF(AND(Y55=1,X55="",J55&lt;&gt;"Cancelado",NOT(OR(J55="Fechado",J55="Resolvido"))),1,0)</x:f>
        <x:v>0</x:v>
      </x:c>
      <x:c r="AA55" s="194" t="n">
        <x:f>IF(AND(Y55=1,X55="",OR(J55="Fechado",J55="Resolvido")),1,0)</x:f>
        <x:v>0</x:v>
      </x:c>
      <x:c r="AB55" s="194" t="n">
        <x:f>IF(Y55=0,0,IF(X55&lt;&gt;"",1,IF(Z55=0,0,IF(P55="ATRASADO",2,IF(AND(M55="ATRASADO",L55=""),3,IF(V55="ESCALAR",4,IF(V55="REVISAR BACKLOG",5,0)))))))</x:f>
        <x:v>0</x:v>
      </x:c>
      <x:c r="AC55" s="194" t="str">
        <x:f>IF(AB55=0,"",COUNTIFS($AB$5:$AB$204,"&gt;0",$AB$5:$AB$204,"&lt;"&amp;AB55)+COUNTIFS($AB$5:AB55,AB55))</x:f>
      </x:c>
      <x:c r="AD55" s="194" t="n">
        <x:f>IF(AND(A55&lt;&gt;"",X55=""),1,0)</x:f>
        <x:v>0</x:v>
      </x:c>
      <x:c r="AE55" s="194" t="n">
        <x:f>IF(AND(Y55=1,X55&lt;&gt;""),1,0)</x:f>
        <x:v>0</x:v>
      </x:c>
      <x:c r="AF55" s="194" t="n">
        <x:f>IF(L55="",1,0)</x:f>
        <x:v>1</x:v>
      </x:c>
    </x:row>
    <x:row r="56">
      <x:c r="A56" s="28"/>
      <x:c r="B56" s="41"/>
      <x:c r="C56" s="28"/>
      <x:c r="D56" s="28"/>
      <x:c r="E56" s="28"/>
      <x:c r="F56" s="28"/>
      <x:c r="G56" s="28"/>
      <x:c r="H56" s="28"/>
      <x:c r="I56" s="28"/>
      <x:c r="J56" s="28"/>
      <x:c r="K56" s="54" t="str">
        <x:f>IF(OR(A56="",X56&lt;&gt;""),"",B56+INDEX(Listas!$B$6:$B$9,MATCH(H56,Listas!$A$6:$A$9,0))/24)</x:f>
      </x:c>
      <x:c r="L56" s="41"/>
      <x:c r="M56" s="55" t="str">
        <x:f>IF(A56="","",IF(X56&lt;&gt;"","DADO PENDENTE",IF(J56="Cancelado","N.A.",IF(L56&lt;&gt;"",IF(L56&lt;=K56,"ATENDIDO","ATRASADO"),IF(OR(J56="Fechado",J56="Resolvido"),"SEM EVIDÊNCIA",IF(Listas!$B$18&gt;K56,"ATRASADO","PENDENTE"))))))</x:f>
      </x:c>
      <x:c r="N56" s="54" t="str">
        <x:f>IF(OR(A56="",X56&lt;&gt;""),"",B56+INDEX(Listas!$C$6:$C$9,MATCH(H56,Listas!$A$6:$A$9,0))/24)</x:f>
      </x:c>
      <x:c r="O56" s="41"/>
      <x:c r="P56" s="55" t="str">
        <x:f>IF(A56="","",IF(X56&lt;&gt;"","DADO PENDENTE",IF(J56="Cancelado","N.A.",IF(OR(J56="Fechado",J56="Resolvido"),IF(O56&lt;=N56,"ATENDIDO","ATRASADO"),IF(Listas!$B$18&gt;N56,"ATRASADO","PENDENTE")))))</x:f>
      </x:c>
      <x:c r="Q56" s="56" t="str">
        <x:f>IF(OR(A56="",X56&lt;&gt;"",J56="Cancelado"),"",24*IF(OR(J56="Fechado",J56="Resolvido"),O56-B56,Listas!$B$18-B56))</x:f>
      </x:c>
      <x:c r="R56" s="57" t="str">
        <x:f>IF(OR(A56="",X56&lt;&gt;"",J56="Cancelado"),"",INT(IF(OR(J56="Fechado",J56="Resolvido"),O56-B56,Listas!$B$18-B56)))</x:f>
      </x:c>
      <x:c r="S56" s="58"/>
      <x:c r="T56" s="58"/>
      <x:c r="U56" s="57" t="str">
        <x:f>IF(OR(A56="",X56&lt;&gt;"",J56="Cancelado"),"",S56*T56)</x:f>
      </x:c>
      <x:c r="V56" s="55" t="str">
        <x:f>IF(A56="","",IF(X56&lt;&gt;"","CORRIGIR DADOS",IF(J56="Cancelado","CANCELADO",IF(OR(J56="Fechado",J56="Resolvido"),"CONCLUÍDO",IF(OR(P56="ATRASADO",U56&gt;=Listas!$B$16),"ESCALAR",IF(AND(M56="ATRASADO",L56=""),"RESPONDER AGORA",IF(R56&gt;=Listas!$B$14,"REVISAR BACKLOG","ACOMPANHAR")))))))</x:f>
      </x:c>
      <x:c r="W56" s="28"/>
      <x:c r="X56" s="194" t="str">
        <x:f>IF(COUNTA(A56:J56,L56,O56,S56:T56,W56)=0,"",IF(OR(NOT(ISNUMBER(Listas!$B$14)),Listas!$B$14&lt;0,NOT(ISNUMBER(Listas!$B$16)),Listas!$B$16&lt;1,COUNT(Listas!$B$6:$C$9)&lt;&gt;8,MIN(Listas!$B$6:$C$9)&lt;=0),"Parâmetros inválidos",IF(A56="","ID ausente",IF(COUNTIFS($A$5:$A$204,A56)&lt;&gt;1,"ID duplicado",IF(OR(NOT(ISNUMBER(B56)),B56&lt;=0),"Abertura inválida",IF(OR(NOT(ISNUMBER(Listas!$B$18)),Listas!$B$18&lt;=0),"Data da análise inválida",IF(B56&gt;Listas!$B$18,"Abertura após análise",IF(COUNTIFS(Listas!$A$6:$A$9,H56)&lt;&gt;1,"Prioridade inválida",IF(COUNTIFS(Equipe!$A$5:$A$12,I56)&lt;&gt;1,"Responsável inválido",IF(COUNTIFS(Listas!$E$6:$E$11,J56)&lt;&gt;1,"Status inválido",IF(AND(L56&lt;&gt;"",OR(NOT(ISNUMBER(L56)),L56&lt;B56,L56&gt;Listas!$B$18)),"Resposta inválida",IF(AND(O56&lt;&gt;"",OR(NOT(ISNUMBER(O56)),O56&lt;B56,O56&gt;Listas!$B$18)),"Resolução inválida",IF(AND(OR(J56="Fechado",J56="Resolvido"),O56=""),"Conclusão sem resolução",IF(OR(NOT(ISNUMBER(S56)),S56&lt;1,S56&gt;5,IF(ISNUMBER(S56),S56&lt;&gt;INT(S56),FALSE),NOT(ISNUMBER(T56)),T56&lt;1,T56&gt;5,IF(ISNUMBER(T56),T56&lt;&gt;INT(T56),FALSE)),"Impacto ou urgência inválido",""))))))))))))))</x:f>
      </x:c>
      <x:c r="Y56" s="194" t="n">
        <x:f>IF(AND(COUNTA(A56:J56,L56,O56,S56:T56,W56)&gt;0,OR(Listas!$B$20="Todos",I56=Listas!$B$20)),1,0)</x:f>
        <x:v>0</x:v>
      </x:c>
      <x:c r="Z56" s="194" t="n">
        <x:f>IF(AND(Y56=1,X56="",J56&lt;&gt;"Cancelado",NOT(OR(J56="Fechado",J56="Resolvido"))),1,0)</x:f>
        <x:v>0</x:v>
      </x:c>
      <x:c r="AA56" s="194" t="n">
        <x:f>IF(AND(Y56=1,X56="",OR(J56="Fechado",J56="Resolvido")),1,0)</x:f>
        <x:v>0</x:v>
      </x:c>
      <x:c r="AB56" s="194" t="n">
        <x:f>IF(Y56=0,0,IF(X56&lt;&gt;"",1,IF(Z56=0,0,IF(P56="ATRASADO",2,IF(AND(M56="ATRASADO",L56=""),3,IF(V56="ESCALAR",4,IF(V56="REVISAR BACKLOG",5,0)))))))</x:f>
        <x:v>0</x:v>
      </x:c>
      <x:c r="AC56" s="194" t="str">
        <x:f>IF(AB56=0,"",COUNTIFS($AB$5:$AB$204,"&gt;0",$AB$5:$AB$204,"&lt;"&amp;AB56)+COUNTIFS($AB$5:AB56,AB56))</x:f>
      </x:c>
      <x:c r="AD56" s="194" t="n">
        <x:f>IF(AND(A56&lt;&gt;"",X56=""),1,0)</x:f>
        <x:v>0</x:v>
      </x:c>
      <x:c r="AE56" s="194" t="n">
        <x:f>IF(AND(Y56=1,X56&lt;&gt;""),1,0)</x:f>
        <x:v>0</x:v>
      </x:c>
      <x:c r="AF56" s="194" t="n">
        <x:f>IF(L56="",1,0)</x:f>
        <x:v>1</x:v>
      </x:c>
    </x:row>
    <x:row r="57">
      <x:c r="A57" s="28"/>
      <x:c r="B57" s="41"/>
      <x:c r="C57" s="28"/>
      <x:c r="D57" s="28"/>
      <x:c r="E57" s="28"/>
      <x:c r="F57" s="28"/>
      <x:c r="G57" s="28"/>
      <x:c r="H57" s="28"/>
      <x:c r="I57" s="28"/>
      <x:c r="J57" s="28"/>
      <x:c r="K57" s="54" t="str">
        <x:f>IF(OR(A57="",X57&lt;&gt;""),"",B57+INDEX(Listas!$B$6:$B$9,MATCH(H57,Listas!$A$6:$A$9,0))/24)</x:f>
      </x:c>
      <x:c r="L57" s="41"/>
      <x:c r="M57" s="55" t="str">
        <x:f>IF(A57="","",IF(X57&lt;&gt;"","DADO PENDENTE",IF(J57="Cancelado","N.A.",IF(L57&lt;&gt;"",IF(L57&lt;=K57,"ATENDIDO","ATRASADO"),IF(OR(J57="Fechado",J57="Resolvido"),"SEM EVIDÊNCIA",IF(Listas!$B$18&gt;K57,"ATRASADO","PENDENTE"))))))</x:f>
      </x:c>
      <x:c r="N57" s="54" t="str">
        <x:f>IF(OR(A57="",X57&lt;&gt;""),"",B57+INDEX(Listas!$C$6:$C$9,MATCH(H57,Listas!$A$6:$A$9,0))/24)</x:f>
      </x:c>
      <x:c r="O57" s="41"/>
      <x:c r="P57" s="55" t="str">
        <x:f>IF(A57="","",IF(X57&lt;&gt;"","DADO PENDENTE",IF(J57="Cancelado","N.A.",IF(OR(J57="Fechado",J57="Resolvido"),IF(O57&lt;=N57,"ATENDIDO","ATRASADO"),IF(Listas!$B$18&gt;N57,"ATRASADO","PENDENTE")))))</x:f>
      </x:c>
      <x:c r="Q57" s="56" t="str">
        <x:f>IF(OR(A57="",X57&lt;&gt;"",J57="Cancelado"),"",24*IF(OR(J57="Fechado",J57="Resolvido"),O57-B57,Listas!$B$18-B57))</x:f>
      </x:c>
      <x:c r="R57" s="57" t="str">
        <x:f>IF(OR(A57="",X57&lt;&gt;"",J57="Cancelado"),"",INT(IF(OR(J57="Fechado",J57="Resolvido"),O57-B57,Listas!$B$18-B57)))</x:f>
      </x:c>
      <x:c r="S57" s="58"/>
      <x:c r="T57" s="58"/>
      <x:c r="U57" s="57" t="str">
        <x:f>IF(OR(A57="",X57&lt;&gt;"",J57="Cancelado"),"",S57*T57)</x:f>
      </x:c>
      <x:c r="V57" s="55" t="str">
        <x:f>IF(A57="","",IF(X57&lt;&gt;"","CORRIGIR DADOS",IF(J57="Cancelado","CANCELADO",IF(OR(J57="Fechado",J57="Resolvido"),"CONCLUÍDO",IF(OR(P57="ATRASADO",U57&gt;=Listas!$B$16),"ESCALAR",IF(AND(M57="ATRASADO",L57=""),"RESPONDER AGORA",IF(R57&gt;=Listas!$B$14,"REVISAR BACKLOG","ACOMPANHAR")))))))</x:f>
      </x:c>
      <x:c r="W57" s="28"/>
      <x:c r="X57" s="194" t="str">
        <x:f>IF(COUNTA(A57:J57,L57,O57,S57:T57,W57)=0,"",IF(OR(NOT(ISNUMBER(Listas!$B$14)),Listas!$B$14&lt;0,NOT(ISNUMBER(Listas!$B$16)),Listas!$B$16&lt;1,COUNT(Listas!$B$6:$C$9)&lt;&gt;8,MIN(Listas!$B$6:$C$9)&lt;=0),"Parâmetros inválidos",IF(A57="","ID ausente",IF(COUNTIFS($A$5:$A$204,A57)&lt;&gt;1,"ID duplicado",IF(OR(NOT(ISNUMBER(B57)),B57&lt;=0),"Abertura inválida",IF(OR(NOT(ISNUMBER(Listas!$B$18)),Listas!$B$18&lt;=0),"Data da análise inválida",IF(B57&gt;Listas!$B$18,"Abertura após análise",IF(COUNTIFS(Listas!$A$6:$A$9,H57)&lt;&gt;1,"Prioridade inválida",IF(COUNTIFS(Equipe!$A$5:$A$12,I57)&lt;&gt;1,"Responsável inválido",IF(COUNTIFS(Listas!$E$6:$E$11,J57)&lt;&gt;1,"Status inválido",IF(AND(L57&lt;&gt;"",OR(NOT(ISNUMBER(L57)),L57&lt;B57,L57&gt;Listas!$B$18)),"Resposta inválida",IF(AND(O57&lt;&gt;"",OR(NOT(ISNUMBER(O57)),O57&lt;B57,O57&gt;Listas!$B$18)),"Resolução inválida",IF(AND(OR(J57="Fechado",J57="Resolvido"),O57=""),"Conclusão sem resolução",IF(OR(NOT(ISNUMBER(S57)),S57&lt;1,S57&gt;5,IF(ISNUMBER(S57),S57&lt;&gt;INT(S57),FALSE),NOT(ISNUMBER(T57)),T57&lt;1,T57&gt;5,IF(ISNUMBER(T57),T57&lt;&gt;INT(T57),FALSE)),"Impacto ou urgência inválido",""))))))))))))))</x:f>
      </x:c>
      <x:c r="Y57" s="194" t="n">
        <x:f>IF(AND(COUNTA(A57:J57,L57,O57,S57:T57,W57)&gt;0,OR(Listas!$B$20="Todos",I57=Listas!$B$20)),1,0)</x:f>
        <x:v>0</x:v>
      </x:c>
      <x:c r="Z57" s="194" t="n">
        <x:f>IF(AND(Y57=1,X57="",J57&lt;&gt;"Cancelado",NOT(OR(J57="Fechado",J57="Resolvido"))),1,0)</x:f>
        <x:v>0</x:v>
      </x:c>
      <x:c r="AA57" s="194" t="n">
        <x:f>IF(AND(Y57=1,X57="",OR(J57="Fechado",J57="Resolvido")),1,0)</x:f>
        <x:v>0</x:v>
      </x:c>
      <x:c r="AB57" s="194" t="n">
        <x:f>IF(Y57=0,0,IF(X57&lt;&gt;"",1,IF(Z57=0,0,IF(P57="ATRASADO",2,IF(AND(M57="ATRASADO",L57=""),3,IF(V57="ESCALAR",4,IF(V57="REVISAR BACKLOG",5,0)))))))</x:f>
        <x:v>0</x:v>
      </x:c>
      <x:c r="AC57" s="194" t="str">
        <x:f>IF(AB57=0,"",COUNTIFS($AB$5:$AB$204,"&gt;0",$AB$5:$AB$204,"&lt;"&amp;AB57)+COUNTIFS($AB$5:AB57,AB57))</x:f>
      </x:c>
      <x:c r="AD57" s="194" t="n">
        <x:f>IF(AND(A57&lt;&gt;"",X57=""),1,0)</x:f>
        <x:v>0</x:v>
      </x:c>
      <x:c r="AE57" s="194" t="n">
        <x:f>IF(AND(Y57=1,X57&lt;&gt;""),1,0)</x:f>
        <x:v>0</x:v>
      </x:c>
      <x:c r="AF57" s="194" t="n">
        <x:f>IF(L57="",1,0)</x:f>
        <x:v>1</x:v>
      </x:c>
    </x:row>
    <x:row r="58">
      <x:c r="A58" s="28"/>
      <x:c r="B58" s="41"/>
      <x:c r="C58" s="28"/>
      <x:c r="D58" s="28"/>
      <x:c r="E58" s="28"/>
      <x:c r="F58" s="28"/>
      <x:c r="G58" s="28"/>
      <x:c r="H58" s="28"/>
      <x:c r="I58" s="28"/>
      <x:c r="J58" s="28"/>
      <x:c r="K58" s="54" t="str">
        <x:f>IF(OR(A58="",X58&lt;&gt;""),"",B58+INDEX(Listas!$B$6:$B$9,MATCH(H58,Listas!$A$6:$A$9,0))/24)</x:f>
      </x:c>
      <x:c r="L58" s="41"/>
      <x:c r="M58" s="55" t="str">
        <x:f>IF(A58="","",IF(X58&lt;&gt;"","DADO PENDENTE",IF(J58="Cancelado","N.A.",IF(L58&lt;&gt;"",IF(L58&lt;=K58,"ATENDIDO","ATRASADO"),IF(OR(J58="Fechado",J58="Resolvido"),"SEM EVIDÊNCIA",IF(Listas!$B$18&gt;K58,"ATRASADO","PENDENTE"))))))</x:f>
      </x:c>
      <x:c r="N58" s="54" t="str">
        <x:f>IF(OR(A58="",X58&lt;&gt;""),"",B58+INDEX(Listas!$C$6:$C$9,MATCH(H58,Listas!$A$6:$A$9,0))/24)</x:f>
      </x:c>
      <x:c r="O58" s="41"/>
      <x:c r="P58" s="55" t="str">
        <x:f>IF(A58="","",IF(X58&lt;&gt;"","DADO PENDENTE",IF(J58="Cancelado","N.A.",IF(OR(J58="Fechado",J58="Resolvido"),IF(O58&lt;=N58,"ATENDIDO","ATRASADO"),IF(Listas!$B$18&gt;N58,"ATRASADO","PENDENTE")))))</x:f>
      </x:c>
      <x:c r="Q58" s="56" t="str">
        <x:f>IF(OR(A58="",X58&lt;&gt;"",J58="Cancelado"),"",24*IF(OR(J58="Fechado",J58="Resolvido"),O58-B58,Listas!$B$18-B58))</x:f>
      </x:c>
      <x:c r="R58" s="57" t="str">
        <x:f>IF(OR(A58="",X58&lt;&gt;"",J58="Cancelado"),"",INT(IF(OR(J58="Fechado",J58="Resolvido"),O58-B58,Listas!$B$18-B58)))</x:f>
      </x:c>
      <x:c r="S58" s="58"/>
      <x:c r="T58" s="58"/>
      <x:c r="U58" s="57" t="str">
        <x:f>IF(OR(A58="",X58&lt;&gt;"",J58="Cancelado"),"",S58*T58)</x:f>
      </x:c>
      <x:c r="V58" s="55" t="str">
        <x:f>IF(A58="","",IF(X58&lt;&gt;"","CORRIGIR DADOS",IF(J58="Cancelado","CANCELADO",IF(OR(J58="Fechado",J58="Resolvido"),"CONCLUÍDO",IF(OR(P58="ATRASADO",U58&gt;=Listas!$B$16),"ESCALAR",IF(AND(M58="ATRASADO",L58=""),"RESPONDER AGORA",IF(R58&gt;=Listas!$B$14,"REVISAR BACKLOG","ACOMPANHAR")))))))</x:f>
      </x:c>
      <x:c r="W58" s="28"/>
      <x:c r="X58" s="194" t="str">
        <x:f>IF(COUNTA(A58:J58,L58,O58,S58:T58,W58)=0,"",IF(OR(NOT(ISNUMBER(Listas!$B$14)),Listas!$B$14&lt;0,NOT(ISNUMBER(Listas!$B$16)),Listas!$B$16&lt;1,COUNT(Listas!$B$6:$C$9)&lt;&gt;8,MIN(Listas!$B$6:$C$9)&lt;=0),"Parâmetros inválidos",IF(A58="","ID ausente",IF(COUNTIFS($A$5:$A$204,A58)&lt;&gt;1,"ID duplicado",IF(OR(NOT(ISNUMBER(B58)),B58&lt;=0),"Abertura inválida",IF(OR(NOT(ISNUMBER(Listas!$B$18)),Listas!$B$18&lt;=0),"Data da análise inválida",IF(B58&gt;Listas!$B$18,"Abertura após análise",IF(COUNTIFS(Listas!$A$6:$A$9,H58)&lt;&gt;1,"Prioridade inválida",IF(COUNTIFS(Equipe!$A$5:$A$12,I58)&lt;&gt;1,"Responsável inválido",IF(COUNTIFS(Listas!$E$6:$E$11,J58)&lt;&gt;1,"Status inválido",IF(AND(L58&lt;&gt;"",OR(NOT(ISNUMBER(L58)),L58&lt;B58,L58&gt;Listas!$B$18)),"Resposta inválida",IF(AND(O58&lt;&gt;"",OR(NOT(ISNUMBER(O58)),O58&lt;B58,O58&gt;Listas!$B$18)),"Resolução inválida",IF(AND(OR(J58="Fechado",J58="Resolvido"),O58=""),"Conclusão sem resolução",IF(OR(NOT(ISNUMBER(S58)),S58&lt;1,S58&gt;5,IF(ISNUMBER(S58),S58&lt;&gt;INT(S58),FALSE),NOT(ISNUMBER(T58)),T58&lt;1,T58&gt;5,IF(ISNUMBER(T58),T58&lt;&gt;INT(T58),FALSE)),"Impacto ou urgência inválido",""))))))))))))))</x:f>
      </x:c>
      <x:c r="Y58" s="194" t="n">
        <x:f>IF(AND(COUNTA(A58:J58,L58,O58,S58:T58,W58)&gt;0,OR(Listas!$B$20="Todos",I58=Listas!$B$20)),1,0)</x:f>
        <x:v>0</x:v>
      </x:c>
      <x:c r="Z58" s="194" t="n">
        <x:f>IF(AND(Y58=1,X58="",J58&lt;&gt;"Cancelado",NOT(OR(J58="Fechado",J58="Resolvido"))),1,0)</x:f>
        <x:v>0</x:v>
      </x:c>
      <x:c r="AA58" s="194" t="n">
        <x:f>IF(AND(Y58=1,X58="",OR(J58="Fechado",J58="Resolvido")),1,0)</x:f>
        <x:v>0</x:v>
      </x:c>
      <x:c r="AB58" s="194" t="n">
        <x:f>IF(Y58=0,0,IF(X58&lt;&gt;"",1,IF(Z58=0,0,IF(P58="ATRASADO",2,IF(AND(M58="ATRASADO",L58=""),3,IF(V58="ESCALAR",4,IF(V58="REVISAR BACKLOG",5,0)))))))</x:f>
        <x:v>0</x:v>
      </x:c>
      <x:c r="AC58" s="194" t="str">
        <x:f>IF(AB58=0,"",COUNTIFS($AB$5:$AB$204,"&gt;0",$AB$5:$AB$204,"&lt;"&amp;AB58)+COUNTIFS($AB$5:AB58,AB58))</x:f>
      </x:c>
      <x:c r="AD58" s="194" t="n">
        <x:f>IF(AND(A58&lt;&gt;"",X58=""),1,0)</x:f>
        <x:v>0</x:v>
      </x:c>
      <x:c r="AE58" s="194" t="n">
        <x:f>IF(AND(Y58=1,X58&lt;&gt;""),1,0)</x:f>
        <x:v>0</x:v>
      </x:c>
      <x:c r="AF58" s="194" t="n">
        <x:f>IF(L58="",1,0)</x:f>
        <x:v>1</x:v>
      </x:c>
    </x:row>
    <x:row r="59">
      <x:c r="A59" s="28"/>
      <x:c r="B59" s="41"/>
      <x:c r="C59" s="28"/>
      <x:c r="D59" s="28"/>
      <x:c r="E59" s="28"/>
      <x:c r="F59" s="28"/>
      <x:c r="G59" s="28"/>
      <x:c r="H59" s="28"/>
      <x:c r="I59" s="28"/>
      <x:c r="J59" s="28"/>
      <x:c r="K59" s="54" t="str">
        <x:f>IF(OR(A59="",X59&lt;&gt;""),"",B59+INDEX(Listas!$B$6:$B$9,MATCH(H59,Listas!$A$6:$A$9,0))/24)</x:f>
      </x:c>
      <x:c r="L59" s="41"/>
      <x:c r="M59" s="55" t="str">
        <x:f>IF(A59="","",IF(X59&lt;&gt;"","DADO PENDENTE",IF(J59="Cancelado","N.A.",IF(L59&lt;&gt;"",IF(L59&lt;=K59,"ATENDIDO","ATRASADO"),IF(OR(J59="Fechado",J59="Resolvido"),"SEM EVIDÊNCIA",IF(Listas!$B$18&gt;K59,"ATRASADO","PENDENTE"))))))</x:f>
      </x:c>
      <x:c r="N59" s="54" t="str">
        <x:f>IF(OR(A59="",X59&lt;&gt;""),"",B59+INDEX(Listas!$C$6:$C$9,MATCH(H59,Listas!$A$6:$A$9,0))/24)</x:f>
      </x:c>
      <x:c r="O59" s="41"/>
      <x:c r="P59" s="55" t="str">
        <x:f>IF(A59="","",IF(X59&lt;&gt;"","DADO PENDENTE",IF(J59="Cancelado","N.A.",IF(OR(J59="Fechado",J59="Resolvido"),IF(O59&lt;=N59,"ATENDIDO","ATRASADO"),IF(Listas!$B$18&gt;N59,"ATRASADO","PENDENTE")))))</x:f>
      </x:c>
      <x:c r="Q59" s="56" t="str">
        <x:f>IF(OR(A59="",X59&lt;&gt;"",J59="Cancelado"),"",24*IF(OR(J59="Fechado",J59="Resolvido"),O59-B59,Listas!$B$18-B59))</x:f>
      </x:c>
      <x:c r="R59" s="57" t="str">
        <x:f>IF(OR(A59="",X59&lt;&gt;"",J59="Cancelado"),"",INT(IF(OR(J59="Fechado",J59="Resolvido"),O59-B59,Listas!$B$18-B59)))</x:f>
      </x:c>
      <x:c r="S59" s="58"/>
      <x:c r="T59" s="58"/>
      <x:c r="U59" s="57" t="str">
        <x:f>IF(OR(A59="",X59&lt;&gt;"",J59="Cancelado"),"",S59*T59)</x:f>
      </x:c>
      <x:c r="V59" s="55" t="str">
        <x:f>IF(A59="","",IF(X59&lt;&gt;"","CORRIGIR DADOS",IF(J59="Cancelado","CANCELADO",IF(OR(J59="Fechado",J59="Resolvido"),"CONCLUÍDO",IF(OR(P59="ATRASADO",U59&gt;=Listas!$B$16),"ESCALAR",IF(AND(M59="ATRASADO",L59=""),"RESPONDER AGORA",IF(R59&gt;=Listas!$B$14,"REVISAR BACKLOG","ACOMPANHAR")))))))</x:f>
      </x:c>
      <x:c r="W59" s="28"/>
      <x:c r="X59" s="194" t="str">
        <x:f>IF(COUNTA(A59:J59,L59,O59,S59:T59,W59)=0,"",IF(OR(NOT(ISNUMBER(Listas!$B$14)),Listas!$B$14&lt;0,NOT(ISNUMBER(Listas!$B$16)),Listas!$B$16&lt;1,COUNT(Listas!$B$6:$C$9)&lt;&gt;8,MIN(Listas!$B$6:$C$9)&lt;=0),"Parâmetros inválidos",IF(A59="","ID ausente",IF(COUNTIFS($A$5:$A$204,A59)&lt;&gt;1,"ID duplicado",IF(OR(NOT(ISNUMBER(B59)),B59&lt;=0),"Abertura inválida",IF(OR(NOT(ISNUMBER(Listas!$B$18)),Listas!$B$18&lt;=0),"Data da análise inválida",IF(B59&gt;Listas!$B$18,"Abertura após análise",IF(COUNTIFS(Listas!$A$6:$A$9,H59)&lt;&gt;1,"Prioridade inválida",IF(COUNTIFS(Equipe!$A$5:$A$12,I59)&lt;&gt;1,"Responsável inválido",IF(COUNTIFS(Listas!$E$6:$E$11,J59)&lt;&gt;1,"Status inválido",IF(AND(L59&lt;&gt;"",OR(NOT(ISNUMBER(L59)),L59&lt;B59,L59&gt;Listas!$B$18)),"Resposta inválida",IF(AND(O59&lt;&gt;"",OR(NOT(ISNUMBER(O59)),O59&lt;B59,O59&gt;Listas!$B$18)),"Resolução inválida",IF(AND(OR(J59="Fechado",J59="Resolvido"),O59=""),"Conclusão sem resolução",IF(OR(NOT(ISNUMBER(S59)),S59&lt;1,S59&gt;5,IF(ISNUMBER(S59),S59&lt;&gt;INT(S59),FALSE),NOT(ISNUMBER(T59)),T59&lt;1,T59&gt;5,IF(ISNUMBER(T59),T59&lt;&gt;INT(T59),FALSE)),"Impacto ou urgência inválido",""))))))))))))))</x:f>
      </x:c>
      <x:c r="Y59" s="194" t="n">
        <x:f>IF(AND(COUNTA(A59:J59,L59,O59,S59:T59,W59)&gt;0,OR(Listas!$B$20="Todos",I59=Listas!$B$20)),1,0)</x:f>
        <x:v>0</x:v>
      </x:c>
      <x:c r="Z59" s="194" t="n">
        <x:f>IF(AND(Y59=1,X59="",J59&lt;&gt;"Cancelado",NOT(OR(J59="Fechado",J59="Resolvido"))),1,0)</x:f>
        <x:v>0</x:v>
      </x:c>
      <x:c r="AA59" s="194" t="n">
        <x:f>IF(AND(Y59=1,X59="",OR(J59="Fechado",J59="Resolvido")),1,0)</x:f>
        <x:v>0</x:v>
      </x:c>
      <x:c r="AB59" s="194" t="n">
        <x:f>IF(Y59=0,0,IF(X59&lt;&gt;"",1,IF(Z59=0,0,IF(P59="ATRASADO",2,IF(AND(M59="ATRASADO",L59=""),3,IF(V59="ESCALAR",4,IF(V59="REVISAR BACKLOG",5,0)))))))</x:f>
        <x:v>0</x:v>
      </x:c>
      <x:c r="AC59" s="194" t="str">
        <x:f>IF(AB59=0,"",COUNTIFS($AB$5:$AB$204,"&gt;0",$AB$5:$AB$204,"&lt;"&amp;AB59)+COUNTIFS($AB$5:AB59,AB59))</x:f>
      </x:c>
      <x:c r="AD59" s="194" t="n">
        <x:f>IF(AND(A59&lt;&gt;"",X59=""),1,0)</x:f>
        <x:v>0</x:v>
      </x:c>
      <x:c r="AE59" s="194" t="n">
        <x:f>IF(AND(Y59=1,X59&lt;&gt;""),1,0)</x:f>
        <x:v>0</x:v>
      </x:c>
      <x:c r="AF59" s="194" t="n">
        <x:f>IF(L59="",1,0)</x:f>
        <x:v>1</x:v>
      </x:c>
    </x:row>
    <x:row r="60">
      <x:c r="A60" s="28"/>
      <x:c r="B60" s="41"/>
      <x:c r="C60" s="28"/>
      <x:c r="D60" s="28"/>
      <x:c r="E60" s="28"/>
      <x:c r="F60" s="28"/>
      <x:c r="G60" s="28"/>
      <x:c r="H60" s="28"/>
      <x:c r="I60" s="28"/>
      <x:c r="J60" s="28"/>
      <x:c r="K60" s="54" t="str">
        <x:f>IF(OR(A60="",X60&lt;&gt;""),"",B60+INDEX(Listas!$B$6:$B$9,MATCH(H60,Listas!$A$6:$A$9,0))/24)</x:f>
      </x:c>
      <x:c r="L60" s="41"/>
      <x:c r="M60" s="55" t="str">
        <x:f>IF(A60="","",IF(X60&lt;&gt;"","DADO PENDENTE",IF(J60="Cancelado","N.A.",IF(L60&lt;&gt;"",IF(L60&lt;=K60,"ATENDIDO","ATRASADO"),IF(OR(J60="Fechado",J60="Resolvido"),"SEM EVIDÊNCIA",IF(Listas!$B$18&gt;K60,"ATRASADO","PENDENTE"))))))</x:f>
      </x:c>
      <x:c r="N60" s="54" t="str">
        <x:f>IF(OR(A60="",X60&lt;&gt;""),"",B60+INDEX(Listas!$C$6:$C$9,MATCH(H60,Listas!$A$6:$A$9,0))/24)</x:f>
      </x:c>
      <x:c r="O60" s="41"/>
      <x:c r="P60" s="55" t="str">
        <x:f>IF(A60="","",IF(X60&lt;&gt;"","DADO PENDENTE",IF(J60="Cancelado","N.A.",IF(OR(J60="Fechado",J60="Resolvido"),IF(O60&lt;=N60,"ATENDIDO","ATRASADO"),IF(Listas!$B$18&gt;N60,"ATRASADO","PENDENTE")))))</x:f>
      </x:c>
      <x:c r="Q60" s="56" t="str">
        <x:f>IF(OR(A60="",X60&lt;&gt;"",J60="Cancelado"),"",24*IF(OR(J60="Fechado",J60="Resolvido"),O60-B60,Listas!$B$18-B60))</x:f>
      </x:c>
      <x:c r="R60" s="57" t="str">
        <x:f>IF(OR(A60="",X60&lt;&gt;"",J60="Cancelado"),"",INT(IF(OR(J60="Fechado",J60="Resolvido"),O60-B60,Listas!$B$18-B60)))</x:f>
      </x:c>
      <x:c r="S60" s="58"/>
      <x:c r="T60" s="58"/>
      <x:c r="U60" s="57" t="str">
        <x:f>IF(OR(A60="",X60&lt;&gt;"",J60="Cancelado"),"",S60*T60)</x:f>
      </x:c>
      <x:c r="V60" s="55" t="str">
        <x:f>IF(A60="","",IF(X60&lt;&gt;"","CORRIGIR DADOS",IF(J60="Cancelado","CANCELADO",IF(OR(J60="Fechado",J60="Resolvido"),"CONCLUÍDO",IF(OR(P60="ATRASADO",U60&gt;=Listas!$B$16),"ESCALAR",IF(AND(M60="ATRASADO",L60=""),"RESPONDER AGORA",IF(R60&gt;=Listas!$B$14,"REVISAR BACKLOG","ACOMPANHAR")))))))</x:f>
      </x:c>
      <x:c r="W60" s="28"/>
      <x:c r="X60" s="194" t="str">
        <x:f>IF(COUNTA(A60:J60,L60,O60,S60:T60,W60)=0,"",IF(OR(NOT(ISNUMBER(Listas!$B$14)),Listas!$B$14&lt;0,NOT(ISNUMBER(Listas!$B$16)),Listas!$B$16&lt;1,COUNT(Listas!$B$6:$C$9)&lt;&gt;8,MIN(Listas!$B$6:$C$9)&lt;=0),"Parâmetros inválidos",IF(A60="","ID ausente",IF(COUNTIFS($A$5:$A$204,A60)&lt;&gt;1,"ID duplicado",IF(OR(NOT(ISNUMBER(B60)),B60&lt;=0),"Abertura inválida",IF(OR(NOT(ISNUMBER(Listas!$B$18)),Listas!$B$18&lt;=0),"Data da análise inválida",IF(B60&gt;Listas!$B$18,"Abertura após análise",IF(COUNTIFS(Listas!$A$6:$A$9,H60)&lt;&gt;1,"Prioridade inválida",IF(COUNTIFS(Equipe!$A$5:$A$12,I60)&lt;&gt;1,"Responsável inválido",IF(COUNTIFS(Listas!$E$6:$E$11,J60)&lt;&gt;1,"Status inválido",IF(AND(L60&lt;&gt;"",OR(NOT(ISNUMBER(L60)),L60&lt;B60,L60&gt;Listas!$B$18)),"Resposta inválida",IF(AND(O60&lt;&gt;"",OR(NOT(ISNUMBER(O60)),O60&lt;B60,O60&gt;Listas!$B$18)),"Resolução inválida",IF(AND(OR(J60="Fechado",J60="Resolvido"),O60=""),"Conclusão sem resolução",IF(OR(NOT(ISNUMBER(S60)),S60&lt;1,S60&gt;5,IF(ISNUMBER(S60),S60&lt;&gt;INT(S60),FALSE),NOT(ISNUMBER(T60)),T60&lt;1,T60&gt;5,IF(ISNUMBER(T60),T60&lt;&gt;INT(T60),FALSE)),"Impacto ou urgência inválido",""))))))))))))))</x:f>
      </x:c>
      <x:c r="Y60" s="194" t="n">
        <x:f>IF(AND(COUNTA(A60:J60,L60,O60,S60:T60,W60)&gt;0,OR(Listas!$B$20="Todos",I60=Listas!$B$20)),1,0)</x:f>
        <x:v>0</x:v>
      </x:c>
      <x:c r="Z60" s="194" t="n">
        <x:f>IF(AND(Y60=1,X60="",J60&lt;&gt;"Cancelado",NOT(OR(J60="Fechado",J60="Resolvido"))),1,0)</x:f>
        <x:v>0</x:v>
      </x:c>
      <x:c r="AA60" s="194" t="n">
        <x:f>IF(AND(Y60=1,X60="",OR(J60="Fechado",J60="Resolvido")),1,0)</x:f>
        <x:v>0</x:v>
      </x:c>
      <x:c r="AB60" s="194" t="n">
        <x:f>IF(Y60=0,0,IF(X60&lt;&gt;"",1,IF(Z60=0,0,IF(P60="ATRASADO",2,IF(AND(M60="ATRASADO",L60=""),3,IF(V60="ESCALAR",4,IF(V60="REVISAR BACKLOG",5,0)))))))</x:f>
        <x:v>0</x:v>
      </x:c>
      <x:c r="AC60" s="194" t="str">
        <x:f>IF(AB60=0,"",COUNTIFS($AB$5:$AB$204,"&gt;0",$AB$5:$AB$204,"&lt;"&amp;AB60)+COUNTIFS($AB$5:AB60,AB60))</x:f>
      </x:c>
      <x:c r="AD60" s="194" t="n">
        <x:f>IF(AND(A60&lt;&gt;"",X60=""),1,0)</x:f>
        <x:v>0</x:v>
      </x:c>
      <x:c r="AE60" s="194" t="n">
        <x:f>IF(AND(Y60=1,X60&lt;&gt;""),1,0)</x:f>
        <x:v>0</x:v>
      </x:c>
      <x:c r="AF60" s="194" t="n">
        <x:f>IF(L60="",1,0)</x:f>
        <x:v>1</x:v>
      </x:c>
    </x:row>
    <x:row r="61">
      <x:c r="A61" s="28"/>
      <x:c r="B61" s="41"/>
      <x:c r="C61" s="28"/>
      <x:c r="D61" s="28"/>
      <x:c r="E61" s="28"/>
      <x:c r="F61" s="28"/>
      <x:c r="G61" s="28"/>
      <x:c r="H61" s="28"/>
      <x:c r="I61" s="28"/>
      <x:c r="J61" s="28"/>
      <x:c r="K61" s="54" t="str">
        <x:f>IF(OR(A61="",X61&lt;&gt;""),"",B61+INDEX(Listas!$B$6:$B$9,MATCH(H61,Listas!$A$6:$A$9,0))/24)</x:f>
      </x:c>
      <x:c r="L61" s="41"/>
      <x:c r="M61" s="55" t="str">
        <x:f>IF(A61="","",IF(X61&lt;&gt;"","DADO PENDENTE",IF(J61="Cancelado","N.A.",IF(L61&lt;&gt;"",IF(L61&lt;=K61,"ATENDIDO","ATRASADO"),IF(OR(J61="Fechado",J61="Resolvido"),"SEM EVIDÊNCIA",IF(Listas!$B$18&gt;K61,"ATRASADO","PENDENTE"))))))</x:f>
      </x:c>
      <x:c r="N61" s="54" t="str">
        <x:f>IF(OR(A61="",X61&lt;&gt;""),"",B61+INDEX(Listas!$C$6:$C$9,MATCH(H61,Listas!$A$6:$A$9,0))/24)</x:f>
      </x:c>
      <x:c r="O61" s="41"/>
      <x:c r="P61" s="55" t="str">
        <x:f>IF(A61="","",IF(X61&lt;&gt;"","DADO PENDENTE",IF(J61="Cancelado","N.A.",IF(OR(J61="Fechado",J61="Resolvido"),IF(O61&lt;=N61,"ATENDIDO","ATRASADO"),IF(Listas!$B$18&gt;N61,"ATRASADO","PENDENTE")))))</x:f>
      </x:c>
      <x:c r="Q61" s="56" t="str">
        <x:f>IF(OR(A61="",X61&lt;&gt;"",J61="Cancelado"),"",24*IF(OR(J61="Fechado",J61="Resolvido"),O61-B61,Listas!$B$18-B61))</x:f>
      </x:c>
      <x:c r="R61" s="57" t="str">
        <x:f>IF(OR(A61="",X61&lt;&gt;"",J61="Cancelado"),"",INT(IF(OR(J61="Fechado",J61="Resolvido"),O61-B61,Listas!$B$18-B61)))</x:f>
      </x:c>
      <x:c r="S61" s="58"/>
      <x:c r="T61" s="58"/>
      <x:c r="U61" s="57" t="str">
        <x:f>IF(OR(A61="",X61&lt;&gt;"",J61="Cancelado"),"",S61*T61)</x:f>
      </x:c>
      <x:c r="V61" s="55" t="str">
        <x:f>IF(A61="","",IF(X61&lt;&gt;"","CORRIGIR DADOS",IF(J61="Cancelado","CANCELADO",IF(OR(J61="Fechado",J61="Resolvido"),"CONCLUÍDO",IF(OR(P61="ATRASADO",U61&gt;=Listas!$B$16),"ESCALAR",IF(AND(M61="ATRASADO",L61=""),"RESPONDER AGORA",IF(R61&gt;=Listas!$B$14,"REVISAR BACKLOG","ACOMPANHAR")))))))</x:f>
      </x:c>
      <x:c r="W61" s="28"/>
      <x:c r="X61" s="194" t="str">
        <x:f>IF(COUNTA(A61:J61,L61,O61,S61:T61,W61)=0,"",IF(OR(NOT(ISNUMBER(Listas!$B$14)),Listas!$B$14&lt;0,NOT(ISNUMBER(Listas!$B$16)),Listas!$B$16&lt;1,COUNT(Listas!$B$6:$C$9)&lt;&gt;8,MIN(Listas!$B$6:$C$9)&lt;=0),"Parâmetros inválidos",IF(A61="","ID ausente",IF(COUNTIFS($A$5:$A$204,A61)&lt;&gt;1,"ID duplicado",IF(OR(NOT(ISNUMBER(B61)),B61&lt;=0),"Abertura inválida",IF(OR(NOT(ISNUMBER(Listas!$B$18)),Listas!$B$18&lt;=0),"Data da análise inválida",IF(B61&gt;Listas!$B$18,"Abertura após análise",IF(COUNTIFS(Listas!$A$6:$A$9,H61)&lt;&gt;1,"Prioridade inválida",IF(COUNTIFS(Equipe!$A$5:$A$12,I61)&lt;&gt;1,"Responsável inválido",IF(COUNTIFS(Listas!$E$6:$E$11,J61)&lt;&gt;1,"Status inválido",IF(AND(L61&lt;&gt;"",OR(NOT(ISNUMBER(L61)),L61&lt;B61,L61&gt;Listas!$B$18)),"Resposta inválida",IF(AND(O61&lt;&gt;"",OR(NOT(ISNUMBER(O61)),O61&lt;B61,O61&gt;Listas!$B$18)),"Resolução inválida",IF(AND(OR(J61="Fechado",J61="Resolvido"),O61=""),"Conclusão sem resolução",IF(OR(NOT(ISNUMBER(S61)),S61&lt;1,S61&gt;5,IF(ISNUMBER(S61),S61&lt;&gt;INT(S61),FALSE),NOT(ISNUMBER(T61)),T61&lt;1,T61&gt;5,IF(ISNUMBER(T61),T61&lt;&gt;INT(T61),FALSE)),"Impacto ou urgência inválido",""))))))))))))))</x:f>
      </x:c>
      <x:c r="Y61" s="194" t="n">
        <x:f>IF(AND(COUNTA(A61:J61,L61,O61,S61:T61,W61)&gt;0,OR(Listas!$B$20="Todos",I61=Listas!$B$20)),1,0)</x:f>
        <x:v>0</x:v>
      </x:c>
      <x:c r="Z61" s="194" t="n">
        <x:f>IF(AND(Y61=1,X61="",J61&lt;&gt;"Cancelado",NOT(OR(J61="Fechado",J61="Resolvido"))),1,0)</x:f>
        <x:v>0</x:v>
      </x:c>
      <x:c r="AA61" s="194" t="n">
        <x:f>IF(AND(Y61=1,X61="",OR(J61="Fechado",J61="Resolvido")),1,0)</x:f>
        <x:v>0</x:v>
      </x:c>
      <x:c r="AB61" s="194" t="n">
        <x:f>IF(Y61=0,0,IF(X61&lt;&gt;"",1,IF(Z61=0,0,IF(P61="ATRASADO",2,IF(AND(M61="ATRASADO",L61=""),3,IF(V61="ESCALAR",4,IF(V61="REVISAR BACKLOG",5,0)))))))</x:f>
        <x:v>0</x:v>
      </x:c>
      <x:c r="AC61" s="194" t="str">
        <x:f>IF(AB61=0,"",COUNTIFS($AB$5:$AB$204,"&gt;0",$AB$5:$AB$204,"&lt;"&amp;AB61)+COUNTIFS($AB$5:AB61,AB61))</x:f>
      </x:c>
      <x:c r="AD61" s="194" t="n">
        <x:f>IF(AND(A61&lt;&gt;"",X61=""),1,0)</x:f>
        <x:v>0</x:v>
      </x:c>
      <x:c r="AE61" s="194" t="n">
        <x:f>IF(AND(Y61=1,X61&lt;&gt;""),1,0)</x:f>
        <x:v>0</x:v>
      </x:c>
      <x:c r="AF61" s="194" t="n">
        <x:f>IF(L61="",1,0)</x:f>
        <x:v>1</x:v>
      </x:c>
    </x:row>
    <x:row r="62">
      <x:c r="A62" s="28"/>
      <x:c r="B62" s="41"/>
      <x:c r="C62" s="28"/>
      <x:c r="D62" s="28"/>
      <x:c r="E62" s="28"/>
      <x:c r="F62" s="28"/>
      <x:c r="G62" s="28"/>
      <x:c r="H62" s="28"/>
      <x:c r="I62" s="28"/>
      <x:c r="J62" s="28"/>
      <x:c r="K62" s="54" t="str">
        <x:f>IF(OR(A62="",X62&lt;&gt;""),"",B62+INDEX(Listas!$B$6:$B$9,MATCH(H62,Listas!$A$6:$A$9,0))/24)</x:f>
      </x:c>
      <x:c r="L62" s="41"/>
      <x:c r="M62" s="55" t="str">
        <x:f>IF(A62="","",IF(X62&lt;&gt;"","DADO PENDENTE",IF(J62="Cancelado","N.A.",IF(L62&lt;&gt;"",IF(L62&lt;=K62,"ATENDIDO","ATRASADO"),IF(OR(J62="Fechado",J62="Resolvido"),"SEM EVIDÊNCIA",IF(Listas!$B$18&gt;K62,"ATRASADO","PENDENTE"))))))</x:f>
      </x:c>
      <x:c r="N62" s="54" t="str">
        <x:f>IF(OR(A62="",X62&lt;&gt;""),"",B62+INDEX(Listas!$C$6:$C$9,MATCH(H62,Listas!$A$6:$A$9,0))/24)</x:f>
      </x:c>
      <x:c r="O62" s="41"/>
      <x:c r="P62" s="55" t="str">
        <x:f>IF(A62="","",IF(X62&lt;&gt;"","DADO PENDENTE",IF(J62="Cancelado","N.A.",IF(OR(J62="Fechado",J62="Resolvido"),IF(O62&lt;=N62,"ATENDIDO","ATRASADO"),IF(Listas!$B$18&gt;N62,"ATRASADO","PENDENTE")))))</x:f>
      </x:c>
      <x:c r="Q62" s="56" t="str">
        <x:f>IF(OR(A62="",X62&lt;&gt;"",J62="Cancelado"),"",24*IF(OR(J62="Fechado",J62="Resolvido"),O62-B62,Listas!$B$18-B62))</x:f>
      </x:c>
      <x:c r="R62" s="57" t="str">
        <x:f>IF(OR(A62="",X62&lt;&gt;"",J62="Cancelado"),"",INT(IF(OR(J62="Fechado",J62="Resolvido"),O62-B62,Listas!$B$18-B62)))</x:f>
      </x:c>
      <x:c r="S62" s="58"/>
      <x:c r="T62" s="58"/>
      <x:c r="U62" s="57" t="str">
        <x:f>IF(OR(A62="",X62&lt;&gt;"",J62="Cancelado"),"",S62*T62)</x:f>
      </x:c>
      <x:c r="V62" s="55" t="str">
        <x:f>IF(A62="","",IF(X62&lt;&gt;"","CORRIGIR DADOS",IF(J62="Cancelado","CANCELADO",IF(OR(J62="Fechado",J62="Resolvido"),"CONCLUÍDO",IF(OR(P62="ATRASADO",U62&gt;=Listas!$B$16),"ESCALAR",IF(AND(M62="ATRASADO",L62=""),"RESPONDER AGORA",IF(R62&gt;=Listas!$B$14,"REVISAR BACKLOG","ACOMPANHAR")))))))</x:f>
      </x:c>
      <x:c r="W62" s="28"/>
      <x:c r="X62" s="194" t="str">
        <x:f>IF(COUNTA(A62:J62,L62,O62,S62:T62,W62)=0,"",IF(OR(NOT(ISNUMBER(Listas!$B$14)),Listas!$B$14&lt;0,NOT(ISNUMBER(Listas!$B$16)),Listas!$B$16&lt;1,COUNT(Listas!$B$6:$C$9)&lt;&gt;8,MIN(Listas!$B$6:$C$9)&lt;=0),"Parâmetros inválidos",IF(A62="","ID ausente",IF(COUNTIFS($A$5:$A$204,A62)&lt;&gt;1,"ID duplicado",IF(OR(NOT(ISNUMBER(B62)),B62&lt;=0),"Abertura inválida",IF(OR(NOT(ISNUMBER(Listas!$B$18)),Listas!$B$18&lt;=0),"Data da análise inválida",IF(B62&gt;Listas!$B$18,"Abertura após análise",IF(COUNTIFS(Listas!$A$6:$A$9,H62)&lt;&gt;1,"Prioridade inválida",IF(COUNTIFS(Equipe!$A$5:$A$12,I62)&lt;&gt;1,"Responsável inválido",IF(COUNTIFS(Listas!$E$6:$E$11,J62)&lt;&gt;1,"Status inválido",IF(AND(L62&lt;&gt;"",OR(NOT(ISNUMBER(L62)),L62&lt;B62,L62&gt;Listas!$B$18)),"Resposta inválida",IF(AND(O62&lt;&gt;"",OR(NOT(ISNUMBER(O62)),O62&lt;B62,O62&gt;Listas!$B$18)),"Resolução inválida",IF(AND(OR(J62="Fechado",J62="Resolvido"),O62=""),"Conclusão sem resolução",IF(OR(NOT(ISNUMBER(S62)),S62&lt;1,S62&gt;5,IF(ISNUMBER(S62),S62&lt;&gt;INT(S62),FALSE),NOT(ISNUMBER(T62)),T62&lt;1,T62&gt;5,IF(ISNUMBER(T62),T62&lt;&gt;INT(T62),FALSE)),"Impacto ou urgência inválido",""))))))))))))))</x:f>
      </x:c>
      <x:c r="Y62" s="194" t="n">
        <x:f>IF(AND(COUNTA(A62:J62,L62,O62,S62:T62,W62)&gt;0,OR(Listas!$B$20="Todos",I62=Listas!$B$20)),1,0)</x:f>
        <x:v>0</x:v>
      </x:c>
      <x:c r="Z62" s="194" t="n">
        <x:f>IF(AND(Y62=1,X62="",J62&lt;&gt;"Cancelado",NOT(OR(J62="Fechado",J62="Resolvido"))),1,0)</x:f>
        <x:v>0</x:v>
      </x:c>
      <x:c r="AA62" s="194" t="n">
        <x:f>IF(AND(Y62=1,X62="",OR(J62="Fechado",J62="Resolvido")),1,0)</x:f>
        <x:v>0</x:v>
      </x:c>
      <x:c r="AB62" s="194" t="n">
        <x:f>IF(Y62=0,0,IF(X62&lt;&gt;"",1,IF(Z62=0,0,IF(P62="ATRASADO",2,IF(AND(M62="ATRASADO",L62=""),3,IF(V62="ESCALAR",4,IF(V62="REVISAR BACKLOG",5,0)))))))</x:f>
        <x:v>0</x:v>
      </x:c>
      <x:c r="AC62" s="194" t="str">
        <x:f>IF(AB62=0,"",COUNTIFS($AB$5:$AB$204,"&gt;0",$AB$5:$AB$204,"&lt;"&amp;AB62)+COUNTIFS($AB$5:AB62,AB62))</x:f>
      </x:c>
      <x:c r="AD62" s="194" t="n">
        <x:f>IF(AND(A62&lt;&gt;"",X62=""),1,0)</x:f>
        <x:v>0</x:v>
      </x:c>
      <x:c r="AE62" s="194" t="n">
        <x:f>IF(AND(Y62=1,X62&lt;&gt;""),1,0)</x:f>
        <x:v>0</x:v>
      </x:c>
      <x:c r="AF62" s="194" t="n">
        <x:f>IF(L62="",1,0)</x:f>
        <x:v>1</x:v>
      </x:c>
    </x:row>
    <x:row r="63">
      <x:c r="A63" s="28"/>
      <x:c r="B63" s="41"/>
      <x:c r="C63" s="28"/>
      <x:c r="D63" s="28"/>
      <x:c r="E63" s="28"/>
      <x:c r="F63" s="28"/>
      <x:c r="G63" s="28"/>
      <x:c r="H63" s="28"/>
      <x:c r="I63" s="28"/>
      <x:c r="J63" s="28"/>
      <x:c r="K63" s="54" t="str">
        <x:f>IF(OR(A63="",X63&lt;&gt;""),"",B63+INDEX(Listas!$B$6:$B$9,MATCH(H63,Listas!$A$6:$A$9,0))/24)</x:f>
      </x:c>
      <x:c r="L63" s="41"/>
      <x:c r="M63" s="55" t="str">
        <x:f>IF(A63="","",IF(X63&lt;&gt;"","DADO PENDENTE",IF(J63="Cancelado","N.A.",IF(L63&lt;&gt;"",IF(L63&lt;=K63,"ATENDIDO","ATRASADO"),IF(OR(J63="Fechado",J63="Resolvido"),"SEM EVIDÊNCIA",IF(Listas!$B$18&gt;K63,"ATRASADO","PENDENTE"))))))</x:f>
      </x:c>
      <x:c r="N63" s="54" t="str">
        <x:f>IF(OR(A63="",X63&lt;&gt;""),"",B63+INDEX(Listas!$C$6:$C$9,MATCH(H63,Listas!$A$6:$A$9,0))/24)</x:f>
      </x:c>
      <x:c r="O63" s="41"/>
      <x:c r="P63" s="55" t="str">
        <x:f>IF(A63="","",IF(X63&lt;&gt;"","DADO PENDENTE",IF(J63="Cancelado","N.A.",IF(OR(J63="Fechado",J63="Resolvido"),IF(O63&lt;=N63,"ATENDIDO","ATRASADO"),IF(Listas!$B$18&gt;N63,"ATRASADO","PENDENTE")))))</x:f>
      </x:c>
      <x:c r="Q63" s="56" t="str">
        <x:f>IF(OR(A63="",X63&lt;&gt;"",J63="Cancelado"),"",24*IF(OR(J63="Fechado",J63="Resolvido"),O63-B63,Listas!$B$18-B63))</x:f>
      </x:c>
      <x:c r="R63" s="57" t="str">
        <x:f>IF(OR(A63="",X63&lt;&gt;"",J63="Cancelado"),"",INT(IF(OR(J63="Fechado",J63="Resolvido"),O63-B63,Listas!$B$18-B63)))</x:f>
      </x:c>
      <x:c r="S63" s="58"/>
      <x:c r="T63" s="58"/>
      <x:c r="U63" s="57" t="str">
        <x:f>IF(OR(A63="",X63&lt;&gt;"",J63="Cancelado"),"",S63*T63)</x:f>
      </x:c>
      <x:c r="V63" s="55" t="str">
        <x:f>IF(A63="","",IF(X63&lt;&gt;"","CORRIGIR DADOS",IF(J63="Cancelado","CANCELADO",IF(OR(J63="Fechado",J63="Resolvido"),"CONCLUÍDO",IF(OR(P63="ATRASADO",U63&gt;=Listas!$B$16),"ESCALAR",IF(AND(M63="ATRASADO",L63=""),"RESPONDER AGORA",IF(R63&gt;=Listas!$B$14,"REVISAR BACKLOG","ACOMPANHAR")))))))</x:f>
      </x:c>
      <x:c r="W63" s="28"/>
      <x:c r="X63" s="194" t="str">
        <x:f>IF(COUNTA(A63:J63,L63,O63,S63:T63,W63)=0,"",IF(OR(NOT(ISNUMBER(Listas!$B$14)),Listas!$B$14&lt;0,NOT(ISNUMBER(Listas!$B$16)),Listas!$B$16&lt;1,COUNT(Listas!$B$6:$C$9)&lt;&gt;8,MIN(Listas!$B$6:$C$9)&lt;=0),"Parâmetros inválidos",IF(A63="","ID ausente",IF(COUNTIFS($A$5:$A$204,A63)&lt;&gt;1,"ID duplicado",IF(OR(NOT(ISNUMBER(B63)),B63&lt;=0),"Abertura inválida",IF(OR(NOT(ISNUMBER(Listas!$B$18)),Listas!$B$18&lt;=0),"Data da análise inválida",IF(B63&gt;Listas!$B$18,"Abertura após análise",IF(COUNTIFS(Listas!$A$6:$A$9,H63)&lt;&gt;1,"Prioridade inválida",IF(COUNTIFS(Equipe!$A$5:$A$12,I63)&lt;&gt;1,"Responsável inválido",IF(COUNTIFS(Listas!$E$6:$E$11,J63)&lt;&gt;1,"Status inválido",IF(AND(L63&lt;&gt;"",OR(NOT(ISNUMBER(L63)),L63&lt;B63,L63&gt;Listas!$B$18)),"Resposta inválida",IF(AND(O63&lt;&gt;"",OR(NOT(ISNUMBER(O63)),O63&lt;B63,O63&gt;Listas!$B$18)),"Resolução inválida",IF(AND(OR(J63="Fechado",J63="Resolvido"),O63=""),"Conclusão sem resolução",IF(OR(NOT(ISNUMBER(S63)),S63&lt;1,S63&gt;5,IF(ISNUMBER(S63),S63&lt;&gt;INT(S63),FALSE),NOT(ISNUMBER(T63)),T63&lt;1,T63&gt;5,IF(ISNUMBER(T63),T63&lt;&gt;INT(T63),FALSE)),"Impacto ou urgência inválido",""))))))))))))))</x:f>
      </x:c>
      <x:c r="Y63" s="194" t="n">
        <x:f>IF(AND(COUNTA(A63:J63,L63,O63,S63:T63,W63)&gt;0,OR(Listas!$B$20="Todos",I63=Listas!$B$20)),1,0)</x:f>
        <x:v>0</x:v>
      </x:c>
      <x:c r="Z63" s="194" t="n">
        <x:f>IF(AND(Y63=1,X63="",J63&lt;&gt;"Cancelado",NOT(OR(J63="Fechado",J63="Resolvido"))),1,0)</x:f>
        <x:v>0</x:v>
      </x:c>
      <x:c r="AA63" s="194" t="n">
        <x:f>IF(AND(Y63=1,X63="",OR(J63="Fechado",J63="Resolvido")),1,0)</x:f>
        <x:v>0</x:v>
      </x:c>
      <x:c r="AB63" s="194" t="n">
        <x:f>IF(Y63=0,0,IF(X63&lt;&gt;"",1,IF(Z63=0,0,IF(P63="ATRASADO",2,IF(AND(M63="ATRASADO",L63=""),3,IF(V63="ESCALAR",4,IF(V63="REVISAR BACKLOG",5,0)))))))</x:f>
        <x:v>0</x:v>
      </x:c>
      <x:c r="AC63" s="194" t="str">
        <x:f>IF(AB63=0,"",COUNTIFS($AB$5:$AB$204,"&gt;0",$AB$5:$AB$204,"&lt;"&amp;AB63)+COUNTIFS($AB$5:AB63,AB63))</x:f>
      </x:c>
      <x:c r="AD63" s="194" t="n">
        <x:f>IF(AND(A63&lt;&gt;"",X63=""),1,0)</x:f>
        <x:v>0</x:v>
      </x:c>
      <x:c r="AE63" s="194" t="n">
        <x:f>IF(AND(Y63=1,X63&lt;&gt;""),1,0)</x:f>
        <x:v>0</x:v>
      </x:c>
      <x:c r="AF63" s="194" t="n">
        <x:f>IF(L63="",1,0)</x:f>
        <x:v>1</x:v>
      </x:c>
    </x:row>
    <x:row r="64">
      <x:c r="A64" s="28"/>
      <x:c r="B64" s="41"/>
      <x:c r="C64" s="28"/>
      <x:c r="D64" s="28"/>
      <x:c r="E64" s="28"/>
      <x:c r="F64" s="28"/>
      <x:c r="G64" s="28"/>
      <x:c r="H64" s="28"/>
      <x:c r="I64" s="28"/>
      <x:c r="J64" s="28"/>
      <x:c r="K64" s="54" t="str">
        <x:f>IF(OR(A64="",X64&lt;&gt;""),"",B64+INDEX(Listas!$B$6:$B$9,MATCH(H64,Listas!$A$6:$A$9,0))/24)</x:f>
      </x:c>
      <x:c r="L64" s="41"/>
      <x:c r="M64" s="55" t="str">
        <x:f>IF(A64="","",IF(X64&lt;&gt;"","DADO PENDENTE",IF(J64="Cancelado","N.A.",IF(L64&lt;&gt;"",IF(L64&lt;=K64,"ATENDIDO","ATRASADO"),IF(OR(J64="Fechado",J64="Resolvido"),"SEM EVIDÊNCIA",IF(Listas!$B$18&gt;K64,"ATRASADO","PENDENTE"))))))</x:f>
      </x:c>
      <x:c r="N64" s="54" t="str">
        <x:f>IF(OR(A64="",X64&lt;&gt;""),"",B64+INDEX(Listas!$C$6:$C$9,MATCH(H64,Listas!$A$6:$A$9,0))/24)</x:f>
      </x:c>
      <x:c r="O64" s="41"/>
      <x:c r="P64" s="55" t="str">
        <x:f>IF(A64="","",IF(X64&lt;&gt;"","DADO PENDENTE",IF(J64="Cancelado","N.A.",IF(OR(J64="Fechado",J64="Resolvido"),IF(O64&lt;=N64,"ATENDIDO","ATRASADO"),IF(Listas!$B$18&gt;N64,"ATRASADO","PENDENTE")))))</x:f>
      </x:c>
      <x:c r="Q64" s="56" t="str">
        <x:f>IF(OR(A64="",X64&lt;&gt;"",J64="Cancelado"),"",24*IF(OR(J64="Fechado",J64="Resolvido"),O64-B64,Listas!$B$18-B64))</x:f>
      </x:c>
      <x:c r="R64" s="57" t="str">
        <x:f>IF(OR(A64="",X64&lt;&gt;"",J64="Cancelado"),"",INT(IF(OR(J64="Fechado",J64="Resolvido"),O64-B64,Listas!$B$18-B64)))</x:f>
      </x:c>
      <x:c r="S64" s="58"/>
      <x:c r="T64" s="58"/>
      <x:c r="U64" s="57" t="str">
        <x:f>IF(OR(A64="",X64&lt;&gt;"",J64="Cancelado"),"",S64*T64)</x:f>
      </x:c>
      <x:c r="V64" s="55" t="str">
        <x:f>IF(A64="","",IF(X64&lt;&gt;"","CORRIGIR DADOS",IF(J64="Cancelado","CANCELADO",IF(OR(J64="Fechado",J64="Resolvido"),"CONCLUÍDO",IF(OR(P64="ATRASADO",U64&gt;=Listas!$B$16),"ESCALAR",IF(AND(M64="ATRASADO",L64=""),"RESPONDER AGORA",IF(R64&gt;=Listas!$B$14,"REVISAR BACKLOG","ACOMPANHAR")))))))</x:f>
      </x:c>
      <x:c r="W64" s="28"/>
      <x:c r="X64" s="194" t="str">
        <x:f>IF(COUNTA(A64:J64,L64,O64,S64:T64,W64)=0,"",IF(OR(NOT(ISNUMBER(Listas!$B$14)),Listas!$B$14&lt;0,NOT(ISNUMBER(Listas!$B$16)),Listas!$B$16&lt;1,COUNT(Listas!$B$6:$C$9)&lt;&gt;8,MIN(Listas!$B$6:$C$9)&lt;=0),"Parâmetros inválidos",IF(A64="","ID ausente",IF(COUNTIFS($A$5:$A$204,A64)&lt;&gt;1,"ID duplicado",IF(OR(NOT(ISNUMBER(B64)),B64&lt;=0),"Abertura inválida",IF(OR(NOT(ISNUMBER(Listas!$B$18)),Listas!$B$18&lt;=0),"Data da análise inválida",IF(B64&gt;Listas!$B$18,"Abertura após análise",IF(COUNTIFS(Listas!$A$6:$A$9,H64)&lt;&gt;1,"Prioridade inválida",IF(COUNTIFS(Equipe!$A$5:$A$12,I64)&lt;&gt;1,"Responsável inválido",IF(COUNTIFS(Listas!$E$6:$E$11,J64)&lt;&gt;1,"Status inválido",IF(AND(L64&lt;&gt;"",OR(NOT(ISNUMBER(L64)),L64&lt;B64,L64&gt;Listas!$B$18)),"Resposta inválida",IF(AND(O64&lt;&gt;"",OR(NOT(ISNUMBER(O64)),O64&lt;B64,O64&gt;Listas!$B$18)),"Resolução inválida",IF(AND(OR(J64="Fechado",J64="Resolvido"),O64=""),"Conclusão sem resolução",IF(OR(NOT(ISNUMBER(S64)),S64&lt;1,S64&gt;5,IF(ISNUMBER(S64),S64&lt;&gt;INT(S64),FALSE),NOT(ISNUMBER(T64)),T64&lt;1,T64&gt;5,IF(ISNUMBER(T64),T64&lt;&gt;INT(T64),FALSE)),"Impacto ou urgência inválido",""))))))))))))))</x:f>
      </x:c>
      <x:c r="Y64" s="194" t="n">
        <x:f>IF(AND(COUNTA(A64:J64,L64,O64,S64:T64,W64)&gt;0,OR(Listas!$B$20="Todos",I64=Listas!$B$20)),1,0)</x:f>
        <x:v>0</x:v>
      </x:c>
      <x:c r="Z64" s="194" t="n">
        <x:f>IF(AND(Y64=1,X64="",J64&lt;&gt;"Cancelado",NOT(OR(J64="Fechado",J64="Resolvido"))),1,0)</x:f>
        <x:v>0</x:v>
      </x:c>
      <x:c r="AA64" s="194" t="n">
        <x:f>IF(AND(Y64=1,X64="",OR(J64="Fechado",J64="Resolvido")),1,0)</x:f>
        <x:v>0</x:v>
      </x:c>
      <x:c r="AB64" s="194" t="n">
        <x:f>IF(Y64=0,0,IF(X64&lt;&gt;"",1,IF(Z64=0,0,IF(P64="ATRASADO",2,IF(AND(M64="ATRASADO",L64=""),3,IF(V64="ESCALAR",4,IF(V64="REVISAR BACKLOG",5,0)))))))</x:f>
        <x:v>0</x:v>
      </x:c>
      <x:c r="AC64" s="194" t="str">
        <x:f>IF(AB64=0,"",COUNTIFS($AB$5:$AB$204,"&gt;0",$AB$5:$AB$204,"&lt;"&amp;AB64)+COUNTIFS($AB$5:AB64,AB64))</x:f>
      </x:c>
      <x:c r="AD64" s="194" t="n">
        <x:f>IF(AND(A64&lt;&gt;"",X64=""),1,0)</x:f>
        <x:v>0</x:v>
      </x:c>
      <x:c r="AE64" s="194" t="n">
        <x:f>IF(AND(Y64=1,X64&lt;&gt;""),1,0)</x:f>
        <x:v>0</x:v>
      </x:c>
      <x:c r="AF64" s="194" t="n">
        <x:f>IF(L64="",1,0)</x:f>
        <x:v>1</x:v>
      </x:c>
    </x:row>
    <x:row r="65">
      <x:c r="A65" s="28"/>
      <x:c r="B65" s="41"/>
      <x:c r="C65" s="28"/>
      <x:c r="D65" s="28"/>
      <x:c r="E65" s="28"/>
      <x:c r="F65" s="28"/>
      <x:c r="G65" s="28"/>
      <x:c r="H65" s="28"/>
      <x:c r="I65" s="28"/>
      <x:c r="J65" s="28"/>
      <x:c r="K65" s="54" t="str">
        <x:f>IF(OR(A65="",X65&lt;&gt;""),"",B65+INDEX(Listas!$B$6:$B$9,MATCH(H65,Listas!$A$6:$A$9,0))/24)</x:f>
      </x:c>
      <x:c r="L65" s="41"/>
      <x:c r="M65" s="55" t="str">
        <x:f>IF(A65="","",IF(X65&lt;&gt;"","DADO PENDENTE",IF(J65="Cancelado","N.A.",IF(L65&lt;&gt;"",IF(L65&lt;=K65,"ATENDIDO","ATRASADO"),IF(OR(J65="Fechado",J65="Resolvido"),"SEM EVIDÊNCIA",IF(Listas!$B$18&gt;K65,"ATRASADO","PENDENTE"))))))</x:f>
      </x:c>
      <x:c r="N65" s="54" t="str">
        <x:f>IF(OR(A65="",X65&lt;&gt;""),"",B65+INDEX(Listas!$C$6:$C$9,MATCH(H65,Listas!$A$6:$A$9,0))/24)</x:f>
      </x:c>
      <x:c r="O65" s="41"/>
      <x:c r="P65" s="55" t="str">
        <x:f>IF(A65="","",IF(X65&lt;&gt;"","DADO PENDENTE",IF(J65="Cancelado","N.A.",IF(OR(J65="Fechado",J65="Resolvido"),IF(O65&lt;=N65,"ATENDIDO","ATRASADO"),IF(Listas!$B$18&gt;N65,"ATRASADO","PENDENTE")))))</x:f>
      </x:c>
      <x:c r="Q65" s="56" t="str">
        <x:f>IF(OR(A65="",X65&lt;&gt;"",J65="Cancelado"),"",24*IF(OR(J65="Fechado",J65="Resolvido"),O65-B65,Listas!$B$18-B65))</x:f>
      </x:c>
      <x:c r="R65" s="57" t="str">
        <x:f>IF(OR(A65="",X65&lt;&gt;"",J65="Cancelado"),"",INT(IF(OR(J65="Fechado",J65="Resolvido"),O65-B65,Listas!$B$18-B65)))</x:f>
      </x:c>
      <x:c r="S65" s="58"/>
      <x:c r="T65" s="58"/>
      <x:c r="U65" s="57" t="str">
        <x:f>IF(OR(A65="",X65&lt;&gt;"",J65="Cancelado"),"",S65*T65)</x:f>
      </x:c>
      <x:c r="V65" s="55" t="str">
        <x:f>IF(A65="","",IF(X65&lt;&gt;"","CORRIGIR DADOS",IF(J65="Cancelado","CANCELADO",IF(OR(J65="Fechado",J65="Resolvido"),"CONCLUÍDO",IF(OR(P65="ATRASADO",U65&gt;=Listas!$B$16),"ESCALAR",IF(AND(M65="ATRASADO",L65=""),"RESPONDER AGORA",IF(R65&gt;=Listas!$B$14,"REVISAR BACKLOG","ACOMPANHAR")))))))</x:f>
      </x:c>
      <x:c r="W65" s="28"/>
      <x:c r="X65" s="194" t="str">
        <x:f>IF(COUNTA(A65:J65,L65,O65,S65:T65,W65)=0,"",IF(OR(NOT(ISNUMBER(Listas!$B$14)),Listas!$B$14&lt;0,NOT(ISNUMBER(Listas!$B$16)),Listas!$B$16&lt;1,COUNT(Listas!$B$6:$C$9)&lt;&gt;8,MIN(Listas!$B$6:$C$9)&lt;=0),"Parâmetros inválidos",IF(A65="","ID ausente",IF(COUNTIFS($A$5:$A$204,A65)&lt;&gt;1,"ID duplicado",IF(OR(NOT(ISNUMBER(B65)),B65&lt;=0),"Abertura inválida",IF(OR(NOT(ISNUMBER(Listas!$B$18)),Listas!$B$18&lt;=0),"Data da análise inválida",IF(B65&gt;Listas!$B$18,"Abertura após análise",IF(COUNTIFS(Listas!$A$6:$A$9,H65)&lt;&gt;1,"Prioridade inválida",IF(COUNTIFS(Equipe!$A$5:$A$12,I65)&lt;&gt;1,"Responsável inválido",IF(COUNTIFS(Listas!$E$6:$E$11,J65)&lt;&gt;1,"Status inválido",IF(AND(L65&lt;&gt;"",OR(NOT(ISNUMBER(L65)),L65&lt;B65,L65&gt;Listas!$B$18)),"Resposta inválida",IF(AND(O65&lt;&gt;"",OR(NOT(ISNUMBER(O65)),O65&lt;B65,O65&gt;Listas!$B$18)),"Resolução inválida",IF(AND(OR(J65="Fechado",J65="Resolvido"),O65=""),"Conclusão sem resolução",IF(OR(NOT(ISNUMBER(S65)),S65&lt;1,S65&gt;5,IF(ISNUMBER(S65),S65&lt;&gt;INT(S65),FALSE),NOT(ISNUMBER(T65)),T65&lt;1,T65&gt;5,IF(ISNUMBER(T65),T65&lt;&gt;INT(T65),FALSE)),"Impacto ou urgência inválido",""))))))))))))))</x:f>
      </x:c>
      <x:c r="Y65" s="194" t="n">
        <x:f>IF(AND(COUNTA(A65:J65,L65,O65,S65:T65,W65)&gt;0,OR(Listas!$B$20="Todos",I65=Listas!$B$20)),1,0)</x:f>
        <x:v>0</x:v>
      </x:c>
      <x:c r="Z65" s="194" t="n">
        <x:f>IF(AND(Y65=1,X65="",J65&lt;&gt;"Cancelado",NOT(OR(J65="Fechado",J65="Resolvido"))),1,0)</x:f>
        <x:v>0</x:v>
      </x:c>
      <x:c r="AA65" s="194" t="n">
        <x:f>IF(AND(Y65=1,X65="",OR(J65="Fechado",J65="Resolvido")),1,0)</x:f>
        <x:v>0</x:v>
      </x:c>
      <x:c r="AB65" s="194" t="n">
        <x:f>IF(Y65=0,0,IF(X65&lt;&gt;"",1,IF(Z65=0,0,IF(P65="ATRASADO",2,IF(AND(M65="ATRASADO",L65=""),3,IF(V65="ESCALAR",4,IF(V65="REVISAR BACKLOG",5,0)))))))</x:f>
        <x:v>0</x:v>
      </x:c>
      <x:c r="AC65" s="194" t="str">
        <x:f>IF(AB65=0,"",COUNTIFS($AB$5:$AB$204,"&gt;0",$AB$5:$AB$204,"&lt;"&amp;AB65)+COUNTIFS($AB$5:AB65,AB65))</x:f>
      </x:c>
      <x:c r="AD65" s="194" t="n">
        <x:f>IF(AND(A65&lt;&gt;"",X65=""),1,0)</x:f>
        <x:v>0</x:v>
      </x:c>
      <x:c r="AE65" s="194" t="n">
        <x:f>IF(AND(Y65=1,X65&lt;&gt;""),1,0)</x:f>
        <x:v>0</x:v>
      </x:c>
      <x:c r="AF65" s="194" t="n">
        <x:f>IF(L65="",1,0)</x:f>
        <x:v>1</x:v>
      </x:c>
    </x:row>
    <x:row r="66">
      <x:c r="A66" s="28"/>
      <x:c r="B66" s="41"/>
      <x:c r="C66" s="28"/>
      <x:c r="D66" s="28"/>
      <x:c r="E66" s="28"/>
      <x:c r="F66" s="28"/>
      <x:c r="G66" s="28"/>
      <x:c r="H66" s="28"/>
      <x:c r="I66" s="28"/>
      <x:c r="J66" s="28"/>
      <x:c r="K66" s="54" t="str">
        <x:f>IF(OR(A66="",X66&lt;&gt;""),"",B66+INDEX(Listas!$B$6:$B$9,MATCH(H66,Listas!$A$6:$A$9,0))/24)</x:f>
      </x:c>
      <x:c r="L66" s="41"/>
      <x:c r="M66" s="55" t="str">
        <x:f>IF(A66="","",IF(X66&lt;&gt;"","DADO PENDENTE",IF(J66="Cancelado","N.A.",IF(L66&lt;&gt;"",IF(L66&lt;=K66,"ATENDIDO","ATRASADO"),IF(OR(J66="Fechado",J66="Resolvido"),"SEM EVIDÊNCIA",IF(Listas!$B$18&gt;K66,"ATRASADO","PENDENTE"))))))</x:f>
      </x:c>
      <x:c r="N66" s="54" t="str">
        <x:f>IF(OR(A66="",X66&lt;&gt;""),"",B66+INDEX(Listas!$C$6:$C$9,MATCH(H66,Listas!$A$6:$A$9,0))/24)</x:f>
      </x:c>
      <x:c r="O66" s="41"/>
      <x:c r="P66" s="55" t="str">
        <x:f>IF(A66="","",IF(X66&lt;&gt;"","DADO PENDENTE",IF(J66="Cancelado","N.A.",IF(OR(J66="Fechado",J66="Resolvido"),IF(O66&lt;=N66,"ATENDIDO","ATRASADO"),IF(Listas!$B$18&gt;N66,"ATRASADO","PENDENTE")))))</x:f>
      </x:c>
      <x:c r="Q66" s="56" t="str">
        <x:f>IF(OR(A66="",X66&lt;&gt;"",J66="Cancelado"),"",24*IF(OR(J66="Fechado",J66="Resolvido"),O66-B66,Listas!$B$18-B66))</x:f>
      </x:c>
      <x:c r="R66" s="57" t="str">
        <x:f>IF(OR(A66="",X66&lt;&gt;"",J66="Cancelado"),"",INT(IF(OR(J66="Fechado",J66="Resolvido"),O66-B66,Listas!$B$18-B66)))</x:f>
      </x:c>
      <x:c r="S66" s="58"/>
      <x:c r="T66" s="58"/>
      <x:c r="U66" s="57" t="str">
        <x:f>IF(OR(A66="",X66&lt;&gt;"",J66="Cancelado"),"",S66*T66)</x:f>
      </x:c>
      <x:c r="V66" s="55" t="str">
        <x:f>IF(A66="","",IF(X66&lt;&gt;"","CORRIGIR DADOS",IF(J66="Cancelado","CANCELADO",IF(OR(J66="Fechado",J66="Resolvido"),"CONCLUÍDO",IF(OR(P66="ATRASADO",U66&gt;=Listas!$B$16),"ESCALAR",IF(AND(M66="ATRASADO",L66=""),"RESPONDER AGORA",IF(R66&gt;=Listas!$B$14,"REVISAR BACKLOG","ACOMPANHAR")))))))</x:f>
      </x:c>
      <x:c r="W66" s="28"/>
      <x:c r="X66" s="194" t="str">
        <x:f>IF(COUNTA(A66:J66,L66,O66,S66:T66,W66)=0,"",IF(OR(NOT(ISNUMBER(Listas!$B$14)),Listas!$B$14&lt;0,NOT(ISNUMBER(Listas!$B$16)),Listas!$B$16&lt;1,COUNT(Listas!$B$6:$C$9)&lt;&gt;8,MIN(Listas!$B$6:$C$9)&lt;=0),"Parâmetros inválidos",IF(A66="","ID ausente",IF(COUNTIFS($A$5:$A$204,A66)&lt;&gt;1,"ID duplicado",IF(OR(NOT(ISNUMBER(B66)),B66&lt;=0),"Abertura inválida",IF(OR(NOT(ISNUMBER(Listas!$B$18)),Listas!$B$18&lt;=0),"Data da análise inválida",IF(B66&gt;Listas!$B$18,"Abertura após análise",IF(COUNTIFS(Listas!$A$6:$A$9,H66)&lt;&gt;1,"Prioridade inválida",IF(COUNTIFS(Equipe!$A$5:$A$12,I66)&lt;&gt;1,"Responsável inválido",IF(COUNTIFS(Listas!$E$6:$E$11,J66)&lt;&gt;1,"Status inválido",IF(AND(L66&lt;&gt;"",OR(NOT(ISNUMBER(L66)),L66&lt;B66,L66&gt;Listas!$B$18)),"Resposta inválida",IF(AND(O66&lt;&gt;"",OR(NOT(ISNUMBER(O66)),O66&lt;B66,O66&gt;Listas!$B$18)),"Resolução inválida",IF(AND(OR(J66="Fechado",J66="Resolvido"),O66=""),"Conclusão sem resolução",IF(OR(NOT(ISNUMBER(S66)),S66&lt;1,S66&gt;5,IF(ISNUMBER(S66),S66&lt;&gt;INT(S66),FALSE),NOT(ISNUMBER(T66)),T66&lt;1,T66&gt;5,IF(ISNUMBER(T66),T66&lt;&gt;INT(T66),FALSE)),"Impacto ou urgência inválido",""))))))))))))))</x:f>
      </x:c>
      <x:c r="Y66" s="194" t="n">
        <x:f>IF(AND(COUNTA(A66:J66,L66,O66,S66:T66,W66)&gt;0,OR(Listas!$B$20="Todos",I66=Listas!$B$20)),1,0)</x:f>
        <x:v>0</x:v>
      </x:c>
      <x:c r="Z66" s="194" t="n">
        <x:f>IF(AND(Y66=1,X66="",J66&lt;&gt;"Cancelado",NOT(OR(J66="Fechado",J66="Resolvido"))),1,0)</x:f>
        <x:v>0</x:v>
      </x:c>
      <x:c r="AA66" s="194" t="n">
        <x:f>IF(AND(Y66=1,X66="",OR(J66="Fechado",J66="Resolvido")),1,0)</x:f>
        <x:v>0</x:v>
      </x:c>
      <x:c r="AB66" s="194" t="n">
        <x:f>IF(Y66=0,0,IF(X66&lt;&gt;"",1,IF(Z66=0,0,IF(P66="ATRASADO",2,IF(AND(M66="ATRASADO",L66=""),3,IF(V66="ESCALAR",4,IF(V66="REVISAR BACKLOG",5,0)))))))</x:f>
        <x:v>0</x:v>
      </x:c>
      <x:c r="AC66" s="194" t="str">
        <x:f>IF(AB66=0,"",COUNTIFS($AB$5:$AB$204,"&gt;0",$AB$5:$AB$204,"&lt;"&amp;AB66)+COUNTIFS($AB$5:AB66,AB66))</x:f>
      </x:c>
      <x:c r="AD66" s="194" t="n">
        <x:f>IF(AND(A66&lt;&gt;"",X66=""),1,0)</x:f>
        <x:v>0</x:v>
      </x:c>
      <x:c r="AE66" s="194" t="n">
        <x:f>IF(AND(Y66=1,X66&lt;&gt;""),1,0)</x:f>
        <x:v>0</x:v>
      </x:c>
      <x:c r="AF66" s="194" t="n">
        <x:f>IF(L66="",1,0)</x:f>
        <x:v>1</x:v>
      </x:c>
    </x:row>
    <x:row r="67">
      <x:c r="A67" s="28"/>
      <x:c r="B67" s="41"/>
      <x:c r="C67" s="28"/>
      <x:c r="D67" s="28"/>
      <x:c r="E67" s="28"/>
      <x:c r="F67" s="28"/>
      <x:c r="G67" s="28"/>
      <x:c r="H67" s="28"/>
      <x:c r="I67" s="28"/>
      <x:c r="J67" s="28"/>
      <x:c r="K67" s="54" t="str">
        <x:f>IF(OR(A67="",X67&lt;&gt;""),"",B67+INDEX(Listas!$B$6:$B$9,MATCH(H67,Listas!$A$6:$A$9,0))/24)</x:f>
      </x:c>
      <x:c r="L67" s="41"/>
      <x:c r="M67" s="55" t="str">
        <x:f>IF(A67="","",IF(X67&lt;&gt;"","DADO PENDENTE",IF(J67="Cancelado","N.A.",IF(L67&lt;&gt;"",IF(L67&lt;=K67,"ATENDIDO","ATRASADO"),IF(OR(J67="Fechado",J67="Resolvido"),"SEM EVIDÊNCIA",IF(Listas!$B$18&gt;K67,"ATRASADO","PENDENTE"))))))</x:f>
      </x:c>
      <x:c r="N67" s="54" t="str">
        <x:f>IF(OR(A67="",X67&lt;&gt;""),"",B67+INDEX(Listas!$C$6:$C$9,MATCH(H67,Listas!$A$6:$A$9,0))/24)</x:f>
      </x:c>
      <x:c r="O67" s="41"/>
      <x:c r="P67" s="55" t="str">
        <x:f>IF(A67="","",IF(X67&lt;&gt;"","DADO PENDENTE",IF(J67="Cancelado","N.A.",IF(OR(J67="Fechado",J67="Resolvido"),IF(O67&lt;=N67,"ATENDIDO","ATRASADO"),IF(Listas!$B$18&gt;N67,"ATRASADO","PENDENTE")))))</x:f>
      </x:c>
      <x:c r="Q67" s="56" t="str">
        <x:f>IF(OR(A67="",X67&lt;&gt;"",J67="Cancelado"),"",24*IF(OR(J67="Fechado",J67="Resolvido"),O67-B67,Listas!$B$18-B67))</x:f>
      </x:c>
      <x:c r="R67" s="57" t="str">
        <x:f>IF(OR(A67="",X67&lt;&gt;"",J67="Cancelado"),"",INT(IF(OR(J67="Fechado",J67="Resolvido"),O67-B67,Listas!$B$18-B67)))</x:f>
      </x:c>
      <x:c r="S67" s="58"/>
      <x:c r="T67" s="58"/>
      <x:c r="U67" s="57" t="str">
        <x:f>IF(OR(A67="",X67&lt;&gt;"",J67="Cancelado"),"",S67*T67)</x:f>
      </x:c>
      <x:c r="V67" s="55" t="str">
        <x:f>IF(A67="","",IF(X67&lt;&gt;"","CORRIGIR DADOS",IF(J67="Cancelado","CANCELADO",IF(OR(J67="Fechado",J67="Resolvido"),"CONCLUÍDO",IF(OR(P67="ATRASADO",U67&gt;=Listas!$B$16),"ESCALAR",IF(AND(M67="ATRASADO",L67=""),"RESPONDER AGORA",IF(R67&gt;=Listas!$B$14,"REVISAR BACKLOG","ACOMPANHAR")))))))</x:f>
      </x:c>
      <x:c r="W67" s="28"/>
      <x:c r="X67" s="194" t="str">
        <x:f>IF(COUNTA(A67:J67,L67,O67,S67:T67,W67)=0,"",IF(OR(NOT(ISNUMBER(Listas!$B$14)),Listas!$B$14&lt;0,NOT(ISNUMBER(Listas!$B$16)),Listas!$B$16&lt;1,COUNT(Listas!$B$6:$C$9)&lt;&gt;8,MIN(Listas!$B$6:$C$9)&lt;=0),"Parâmetros inválidos",IF(A67="","ID ausente",IF(COUNTIFS($A$5:$A$204,A67)&lt;&gt;1,"ID duplicado",IF(OR(NOT(ISNUMBER(B67)),B67&lt;=0),"Abertura inválida",IF(OR(NOT(ISNUMBER(Listas!$B$18)),Listas!$B$18&lt;=0),"Data da análise inválida",IF(B67&gt;Listas!$B$18,"Abertura após análise",IF(COUNTIFS(Listas!$A$6:$A$9,H67)&lt;&gt;1,"Prioridade inválida",IF(COUNTIFS(Equipe!$A$5:$A$12,I67)&lt;&gt;1,"Responsável inválido",IF(COUNTIFS(Listas!$E$6:$E$11,J67)&lt;&gt;1,"Status inválido",IF(AND(L67&lt;&gt;"",OR(NOT(ISNUMBER(L67)),L67&lt;B67,L67&gt;Listas!$B$18)),"Resposta inválida",IF(AND(O67&lt;&gt;"",OR(NOT(ISNUMBER(O67)),O67&lt;B67,O67&gt;Listas!$B$18)),"Resolução inválida",IF(AND(OR(J67="Fechado",J67="Resolvido"),O67=""),"Conclusão sem resolução",IF(OR(NOT(ISNUMBER(S67)),S67&lt;1,S67&gt;5,IF(ISNUMBER(S67),S67&lt;&gt;INT(S67),FALSE),NOT(ISNUMBER(T67)),T67&lt;1,T67&gt;5,IF(ISNUMBER(T67),T67&lt;&gt;INT(T67),FALSE)),"Impacto ou urgência inválido",""))))))))))))))</x:f>
      </x:c>
      <x:c r="Y67" s="194" t="n">
        <x:f>IF(AND(COUNTA(A67:J67,L67,O67,S67:T67,W67)&gt;0,OR(Listas!$B$20="Todos",I67=Listas!$B$20)),1,0)</x:f>
        <x:v>0</x:v>
      </x:c>
      <x:c r="Z67" s="194" t="n">
        <x:f>IF(AND(Y67=1,X67="",J67&lt;&gt;"Cancelado",NOT(OR(J67="Fechado",J67="Resolvido"))),1,0)</x:f>
        <x:v>0</x:v>
      </x:c>
      <x:c r="AA67" s="194" t="n">
        <x:f>IF(AND(Y67=1,X67="",OR(J67="Fechado",J67="Resolvido")),1,0)</x:f>
        <x:v>0</x:v>
      </x:c>
      <x:c r="AB67" s="194" t="n">
        <x:f>IF(Y67=0,0,IF(X67&lt;&gt;"",1,IF(Z67=0,0,IF(P67="ATRASADO",2,IF(AND(M67="ATRASADO",L67=""),3,IF(V67="ESCALAR",4,IF(V67="REVISAR BACKLOG",5,0)))))))</x:f>
        <x:v>0</x:v>
      </x:c>
      <x:c r="AC67" s="194" t="str">
        <x:f>IF(AB67=0,"",COUNTIFS($AB$5:$AB$204,"&gt;0",$AB$5:$AB$204,"&lt;"&amp;AB67)+COUNTIFS($AB$5:AB67,AB67))</x:f>
      </x:c>
      <x:c r="AD67" s="194" t="n">
        <x:f>IF(AND(A67&lt;&gt;"",X67=""),1,0)</x:f>
        <x:v>0</x:v>
      </x:c>
      <x:c r="AE67" s="194" t="n">
        <x:f>IF(AND(Y67=1,X67&lt;&gt;""),1,0)</x:f>
        <x:v>0</x:v>
      </x:c>
      <x:c r="AF67" s="194" t="n">
        <x:f>IF(L67="",1,0)</x:f>
        <x:v>1</x:v>
      </x:c>
    </x:row>
    <x:row r="68">
      <x:c r="A68" s="28"/>
      <x:c r="B68" s="41"/>
      <x:c r="C68" s="28"/>
      <x:c r="D68" s="28"/>
      <x:c r="E68" s="28"/>
      <x:c r="F68" s="28"/>
      <x:c r="G68" s="28"/>
      <x:c r="H68" s="28"/>
      <x:c r="I68" s="28"/>
      <x:c r="J68" s="28"/>
      <x:c r="K68" s="54" t="str">
        <x:f>IF(OR(A68="",X68&lt;&gt;""),"",B68+INDEX(Listas!$B$6:$B$9,MATCH(H68,Listas!$A$6:$A$9,0))/24)</x:f>
      </x:c>
      <x:c r="L68" s="41"/>
      <x:c r="M68" s="55" t="str">
        <x:f>IF(A68="","",IF(X68&lt;&gt;"","DADO PENDENTE",IF(J68="Cancelado","N.A.",IF(L68&lt;&gt;"",IF(L68&lt;=K68,"ATENDIDO","ATRASADO"),IF(OR(J68="Fechado",J68="Resolvido"),"SEM EVIDÊNCIA",IF(Listas!$B$18&gt;K68,"ATRASADO","PENDENTE"))))))</x:f>
      </x:c>
      <x:c r="N68" s="54" t="str">
        <x:f>IF(OR(A68="",X68&lt;&gt;""),"",B68+INDEX(Listas!$C$6:$C$9,MATCH(H68,Listas!$A$6:$A$9,0))/24)</x:f>
      </x:c>
      <x:c r="O68" s="41"/>
      <x:c r="P68" s="55" t="str">
        <x:f>IF(A68="","",IF(X68&lt;&gt;"","DADO PENDENTE",IF(J68="Cancelado","N.A.",IF(OR(J68="Fechado",J68="Resolvido"),IF(O68&lt;=N68,"ATENDIDO","ATRASADO"),IF(Listas!$B$18&gt;N68,"ATRASADO","PENDENTE")))))</x:f>
      </x:c>
      <x:c r="Q68" s="56" t="str">
        <x:f>IF(OR(A68="",X68&lt;&gt;"",J68="Cancelado"),"",24*IF(OR(J68="Fechado",J68="Resolvido"),O68-B68,Listas!$B$18-B68))</x:f>
      </x:c>
      <x:c r="R68" s="57" t="str">
        <x:f>IF(OR(A68="",X68&lt;&gt;"",J68="Cancelado"),"",INT(IF(OR(J68="Fechado",J68="Resolvido"),O68-B68,Listas!$B$18-B68)))</x:f>
      </x:c>
      <x:c r="S68" s="58"/>
      <x:c r="T68" s="58"/>
      <x:c r="U68" s="57" t="str">
        <x:f>IF(OR(A68="",X68&lt;&gt;"",J68="Cancelado"),"",S68*T68)</x:f>
      </x:c>
      <x:c r="V68" s="55" t="str">
        <x:f>IF(A68="","",IF(X68&lt;&gt;"","CORRIGIR DADOS",IF(J68="Cancelado","CANCELADO",IF(OR(J68="Fechado",J68="Resolvido"),"CONCLUÍDO",IF(OR(P68="ATRASADO",U68&gt;=Listas!$B$16),"ESCALAR",IF(AND(M68="ATRASADO",L68=""),"RESPONDER AGORA",IF(R68&gt;=Listas!$B$14,"REVISAR BACKLOG","ACOMPANHAR")))))))</x:f>
      </x:c>
      <x:c r="W68" s="28"/>
      <x:c r="X68" s="194" t="str">
        <x:f>IF(COUNTA(A68:J68,L68,O68,S68:T68,W68)=0,"",IF(OR(NOT(ISNUMBER(Listas!$B$14)),Listas!$B$14&lt;0,NOT(ISNUMBER(Listas!$B$16)),Listas!$B$16&lt;1,COUNT(Listas!$B$6:$C$9)&lt;&gt;8,MIN(Listas!$B$6:$C$9)&lt;=0),"Parâmetros inválidos",IF(A68="","ID ausente",IF(COUNTIFS($A$5:$A$204,A68)&lt;&gt;1,"ID duplicado",IF(OR(NOT(ISNUMBER(B68)),B68&lt;=0),"Abertura inválida",IF(OR(NOT(ISNUMBER(Listas!$B$18)),Listas!$B$18&lt;=0),"Data da análise inválida",IF(B68&gt;Listas!$B$18,"Abertura após análise",IF(COUNTIFS(Listas!$A$6:$A$9,H68)&lt;&gt;1,"Prioridade inválida",IF(COUNTIFS(Equipe!$A$5:$A$12,I68)&lt;&gt;1,"Responsável inválido",IF(COUNTIFS(Listas!$E$6:$E$11,J68)&lt;&gt;1,"Status inválido",IF(AND(L68&lt;&gt;"",OR(NOT(ISNUMBER(L68)),L68&lt;B68,L68&gt;Listas!$B$18)),"Resposta inválida",IF(AND(O68&lt;&gt;"",OR(NOT(ISNUMBER(O68)),O68&lt;B68,O68&gt;Listas!$B$18)),"Resolução inválida",IF(AND(OR(J68="Fechado",J68="Resolvido"),O68=""),"Conclusão sem resolução",IF(OR(NOT(ISNUMBER(S68)),S68&lt;1,S68&gt;5,IF(ISNUMBER(S68),S68&lt;&gt;INT(S68),FALSE),NOT(ISNUMBER(T68)),T68&lt;1,T68&gt;5,IF(ISNUMBER(T68),T68&lt;&gt;INT(T68),FALSE)),"Impacto ou urgência inválido",""))))))))))))))</x:f>
      </x:c>
      <x:c r="Y68" s="194" t="n">
        <x:f>IF(AND(COUNTA(A68:J68,L68,O68,S68:T68,W68)&gt;0,OR(Listas!$B$20="Todos",I68=Listas!$B$20)),1,0)</x:f>
        <x:v>0</x:v>
      </x:c>
      <x:c r="Z68" s="194" t="n">
        <x:f>IF(AND(Y68=1,X68="",J68&lt;&gt;"Cancelado",NOT(OR(J68="Fechado",J68="Resolvido"))),1,0)</x:f>
        <x:v>0</x:v>
      </x:c>
      <x:c r="AA68" s="194" t="n">
        <x:f>IF(AND(Y68=1,X68="",OR(J68="Fechado",J68="Resolvido")),1,0)</x:f>
        <x:v>0</x:v>
      </x:c>
      <x:c r="AB68" s="194" t="n">
        <x:f>IF(Y68=0,0,IF(X68&lt;&gt;"",1,IF(Z68=0,0,IF(P68="ATRASADO",2,IF(AND(M68="ATRASADO",L68=""),3,IF(V68="ESCALAR",4,IF(V68="REVISAR BACKLOG",5,0)))))))</x:f>
        <x:v>0</x:v>
      </x:c>
      <x:c r="AC68" s="194" t="str">
        <x:f>IF(AB68=0,"",COUNTIFS($AB$5:$AB$204,"&gt;0",$AB$5:$AB$204,"&lt;"&amp;AB68)+COUNTIFS($AB$5:AB68,AB68))</x:f>
      </x:c>
      <x:c r="AD68" s="194" t="n">
        <x:f>IF(AND(A68&lt;&gt;"",X68=""),1,0)</x:f>
        <x:v>0</x:v>
      </x:c>
      <x:c r="AE68" s="194" t="n">
        <x:f>IF(AND(Y68=1,X68&lt;&gt;""),1,0)</x:f>
        <x:v>0</x:v>
      </x:c>
      <x:c r="AF68" s="194" t="n">
        <x:f>IF(L68="",1,0)</x:f>
        <x:v>1</x:v>
      </x:c>
    </x:row>
    <x:row r="69">
      <x:c r="A69" s="28"/>
      <x:c r="B69" s="41"/>
      <x:c r="C69" s="28"/>
      <x:c r="D69" s="28"/>
      <x:c r="E69" s="28"/>
      <x:c r="F69" s="28"/>
      <x:c r="G69" s="28"/>
      <x:c r="H69" s="28"/>
      <x:c r="I69" s="28"/>
      <x:c r="J69" s="28"/>
      <x:c r="K69" s="54" t="str">
        <x:f>IF(OR(A69="",X69&lt;&gt;""),"",B69+INDEX(Listas!$B$6:$B$9,MATCH(H69,Listas!$A$6:$A$9,0))/24)</x:f>
      </x:c>
      <x:c r="L69" s="41"/>
      <x:c r="M69" s="55" t="str">
        <x:f>IF(A69="","",IF(X69&lt;&gt;"","DADO PENDENTE",IF(J69="Cancelado","N.A.",IF(L69&lt;&gt;"",IF(L69&lt;=K69,"ATENDIDO","ATRASADO"),IF(OR(J69="Fechado",J69="Resolvido"),"SEM EVIDÊNCIA",IF(Listas!$B$18&gt;K69,"ATRASADO","PENDENTE"))))))</x:f>
      </x:c>
      <x:c r="N69" s="54" t="str">
        <x:f>IF(OR(A69="",X69&lt;&gt;""),"",B69+INDEX(Listas!$C$6:$C$9,MATCH(H69,Listas!$A$6:$A$9,0))/24)</x:f>
      </x:c>
      <x:c r="O69" s="41"/>
      <x:c r="P69" s="55" t="str">
        <x:f>IF(A69="","",IF(X69&lt;&gt;"","DADO PENDENTE",IF(J69="Cancelado","N.A.",IF(OR(J69="Fechado",J69="Resolvido"),IF(O69&lt;=N69,"ATENDIDO","ATRASADO"),IF(Listas!$B$18&gt;N69,"ATRASADO","PENDENTE")))))</x:f>
      </x:c>
      <x:c r="Q69" s="56" t="str">
        <x:f>IF(OR(A69="",X69&lt;&gt;"",J69="Cancelado"),"",24*IF(OR(J69="Fechado",J69="Resolvido"),O69-B69,Listas!$B$18-B69))</x:f>
      </x:c>
      <x:c r="R69" s="57" t="str">
        <x:f>IF(OR(A69="",X69&lt;&gt;"",J69="Cancelado"),"",INT(IF(OR(J69="Fechado",J69="Resolvido"),O69-B69,Listas!$B$18-B69)))</x:f>
      </x:c>
      <x:c r="S69" s="58"/>
      <x:c r="T69" s="58"/>
      <x:c r="U69" s="57" t="str">
        <x:f>IF(OR(A69="",X69&lt;&gt;"",J69="Cancelado"),"",S69*T69)</x:f>
      </x:c>
      <x:c r="V69" s="55" t="str">
        <x:f>IF(A69="","",IF(X69&lt;&gt;"","CORRIGIR DADOS",IF(J69="Cancelado","CANCELADO",IF(OR(J69="Fechado",J69="Resolvido"),"CONCLUÍDO",IF(OR(P69="ATRASADO",U69&gt;=Listas!$B$16),"ESCALAR",IF(AND(M69="ATRASADO",L69=""),"RESPONDER AGORA",IF(R69&gt;=Listas!$B$14,"REVISAR BACKLOG","ACOMPANHAR")))))))</x:f>
      </x:c>
      <x:c r="W69" s="28"/>
      <x:c r="X69" s="194" t="str">
        <x:f>IF(COUNTA(A69:J69,L69,O69,S69:T69,W69)=0,"",IF(OR(NOT(ISNUMBER(Listas!$B$14)),Listas!$B$14&lt;0,NOT(ISNUMBER(Listas!$B$16)),Listas!$B$16&lt;1,COUNT(Listas!$B$6:$C$9)&lt;&gt;8,MIN(Listas!$B$6:$C$9)&lt;=0),"Parâmetros inválidos",IF(A69="","ID ausente",IF(COUNTIFS($A$5:$A$204,A69)&lt;&gt;1,"ID duplicado",IF(OR(NOT(ISNUMBER(B69)),B69&lt;=0),"Abertura inválida",IF(OR(NOT(ISNUMBER(Listas!$B$18)),Listas!$B$18&lt;=0),"Data da análise inválida",IF(B69&gt;Listas!$B$18,"Abertura após análise",IF(COUNTIFS(Listas!$A$6:$A$9,H69)&lt;&gt;1,"Prioridade inválida",IF(COUNTIFS(Equipe!$A$5:$A$12,I69)&lt;&gt;1,"Responsável inválido",IF(COUNTIFS(Listas!$E$6:$E$11,J69)&lt;&gt;1,"Status inválido",IF(AND(L69&lt;&gt;"",OR(NOT(ISNUMBER(L69)),L69&lt;B69,L69&gt;Listas!$B$18)),"Resposta inválida",IF(AND(O69&lt;&gt;"",OR(NOT(ISNUMBER(O69)),O69&lt;B69,O69&gt;Listas!$B$18)),"Resolução inválida",IF(AND(OR(J69="Fechado",J69="Resolvido"),O69=""),"Conclusão sem resolução",IF(OR(NOT(ISNUMBER(S69)),S69&lt;1,S69&gt;5,IF(ISNUMBER(S69),S69&lt;&gt;INT(S69),FALSE),NOT(ISNUMBER(T69)),T69&lt;1,T69&gt;5,IF(ISNUMBER(T69),T69&lt;&gt;INT(T69),FALSE)),"Impacto ou urgência inválido",""))))))))))))))</x:f>
      </x:c>
      <x:c r="Y69" s="194" t="n">
        <x:f>IF(AND(COUNTA(A69:J69,L69,O69,S69:T69,W69)&gt;0,OR(Listas!$B$20="Todos",I69=Listas!$B$20)),1,0)</x:f>
        <x:v>0</x:v>
      </x:c>
      <x:c r="Z69" s="194" t="n">
        <x:f>IF(AND(Y69=1,X69="",J69&lt;&gt;"Cancelado",NOT(OR(J69="Fechado",J69="Resolvido"))),1,0)</x:f>
        <x:v>0</x:v>
      </x:c>
      <x:c r="AA69" s="194" t="n">
        <x:f>IF(AND(Y69=1,X69="",OR(J69="Fechado",J69="Resolvido")),1,0)</x:f>
        <x:v>0</x:v>
      </x:c>
      <x:c r="AB69" s="194" t="n">
        <x:f>IF(Y69=0,0,IF(X69&lt;&gt;"",1,IF(Z69=0,0,IF(P69="ATRASADO",2,IF(AND(M69="ATRASADO",L69=""),3,IF(V69="ESCALAR",4,IF(V69="REVISAR BACKLOG",5,0)))))))</x:f>
        <x:v>0</x:v>
      </x:c>
      <x:c r="AC69" s="194" t="str">
        <x:f>IF(AB69=0,"",COUNTIFS($AB$5:$AB$204,"&gt;0",$AB$5:$AB$204,"&lt;"&amp;AB69)+COUNTIFS($AB$5:AB69,AB69))</x:f>
      </x:c>
      <x:c r="AD69" s="194" t="n">
        <x:f>IF(AND(A69&lt;&gt;"",X69=""),1,0)</x:f>
        <x:v>0</x:v>
      </x:c>
      <x:c r="AE69" s="194" t="n">
        <x:f>IF(AND(Y69=1,X69&lt;&gt;""),1,0)</x:f>
        <x:v>0</x:v>
      </x:c>
      <x:c r="AF69" s="194" t="n">
        <x:f>IF(L69="",1,0)</x:f>
        <x:v>1</x:v>
      </x:c>
    </x:row>
    <x:row r="70">
      <x:c r="A70" s="28"/>
      <x:c r="B70" s="41"/>
      <x:c r="C70" s="28"/>
      <x:c r="D70" s="28"/>
      <x:c r="E70" s="28"/>
      <x:c r="F70" s="28"/>
      <x:c r="G70" s="28"/>
      <x:c r="H70" s="28"/>
      <x:c r="I70" s="28"/>
      <x:c r="J70" s="28"/>
      <x:c r="K70" s="54" t="str">
        <x:f>IF(OR(A70="",X70&lt;&gt;""),"",B70+INDEX(Listas!$B$6:$B$9,MATCH(H70,Listas!$A$6:$A$9,0))/24)</x:f>
      </x:c>
      <x:c r="L70" s="41"/>
      <x:c r="M70" s="55" t="str">
        <x:f>IF(A70="","",IF(X70&lt;&gt;"","DADO PENDENTE",IF(J70="Cancelado","N.A.",IF(L70&lt;&gt;"",IF(L70&lt;=K70,"ATENDIDO","ATRASADO"),IF(OR(J70="Fechado",J70="Resolvido"),"SEM EVIDÊNCIA",IF(Listas!$B$18&gt;K70,"ATRASADO","PENDENTE"))))))</x:f>
      </x:c>
      <x:c r="N70" s="54" t="str">
        <x:f>IF(OR(A70="",X70&lt;&gt;""),"",B70+INDEX(Listas!$C$6:$C$9,MATCH(H70,Listas!$A$6:$A$9,0))/24)</x:f>
      </x:c>
      <x:c r="O70" s="41"/>
      <x:c r="P70" s="55" t="str">
        <x:f>IF(A70="","",IF(X70&lt;&gt;"","DADO PENDENTE",IF(J70="Cancelado","N.A.",IF(OR(J70="Fechado",J70="Resolvido"),IF(O70&lt;=N70,"ATENDIDO","ATRASADO"),IF(Listas!$B$18&gt;N70,"ATRASADO","PENDENTE")))))</x:f>
      </x:c>
      <x:c r="Q70" s="56" t="str">
        <x:f>IF(OR(A70="",X70&lt;&gt;"",J70="Cancelado"),"",24*IF(OR(J70="Fechado",J70="Resolvido"),O70-B70,Listas!$B$18-B70))</x:f>
      </x:c>
      <x:c r="R70" s="57" t="str">
        <x:f>IF(OR(A70="",X70&lt;&gt;"",J70="Cancelado"),"",INT(IF(OR(J70="Fechado",J70="Resolvido"),O70-B70,Listas!$B$18-B70)))</x:f>
      </x:c>
      <x:c r="S70" s="58"/>
      <x:c r="T70" s="58"/>
      <x:c r="U70" s="57" t="str">
        <x:f>IF(OR(A70="",X70&lt;&gt;"",J70="Cancelado"),"",S70*T70)</x:f>
      </x:c>
      <x:c r="V70" s="55" t="str">
        <x:f>IF(A70="","",IF(X70&lt;&gt;"","CORRIGIR DADOS",IF(J70="Cancelado","CANCELADO",IF(OR(J70="Fechado",J70="Resolvido"),"CONCLUÍDO",IF(OR(P70="ATRASADO",U70&gt;=Listas!$B$16),"ESCALAR",IF(AND(M70="ATRASADO",L70=""),"RESPONDER AGORA",IF(R70&gt;=Listas!$B$14,"REVISAR BACKLOG","ACOMPANHAR")))))))</x:f>
      </x:c>
      <x:c r="W70" s="28"/>
      <x:c r="X70" s="194" t="str">
        <x:f>IF(COUNTA(A70:J70,L70,O70,S70:T70,W70)=0,"",IF(OR(NOT(ISNUMBER(Listas!$B$14)),Listas!$B$14&lt;0,NOT(ISNUMBER(Listas!$B$16)),Listas!$B$16&lt;1,COUNT(Listas!$B$6:$C$9)&lt;&gt;8,MIN(Listas!$B$6:$C$9)&lt;=0),"Parâmetros inválidos",IF(A70="","ID ausente",IF(COUNTIFS($A$5:$A$204,A70)&lt;&gt;1,"ID duplicado",IF(OR(NOT(ISNUMBER(B70)),B70&lt;=0),"Abertura inválida",IF(OR(NOT(ISNUMBER(Listas!$B$18)),Listas!$B$18&lt;=0),"Data da análise inválida",IF(B70&gt;Listas!$B$18,"Abertura após análise",IF(COUNTIFS(Listas!$A$6:$A$9,H70)&lt;&gt;1,"Prioridade inválida",IF(COUNTIFS(Equipe!$A$5:$A$12,I70)&lt;&gt;1,"Responsável inválido",IF(COUNTIFS(Listas!$E$6:$E$11,J70)&lt;&gt;1,"Status inválido",IF(AND(L70&lt;&gt;"",OR(NOT(ISNUMBER(L70)),L70&lt;B70,L70&gt;Listas!$B$18)),"Resposta inválida",IF(AND(O70&lt;&gt;"",OR(NOT(ISNUMBER(O70)),O70&lt;B70,O70&gt;Listas!$B$18)),"Resolução inválida",IF(AND(OR(J70="Fechado",J70="Resolvido"),O70=""),"Conclusão sem resolução",IF(OR(NOT(ISNUMBER(S70)),S70&lt;1,S70&gt;5,IF(ISNUMBER(S70),S70&lt;&gt;INT(S70),FALSE),NOT(ISNUMBER(T70)),T70&lt;1,T70&gt;5,IF(ISNUMBER(T70),T70&lt;&gt;INT(T70),FALSE)),"Impacto ou urgência inválido",""))))))))))))))</x:f>
      </x:c>
      <x:c r="Y70" s="194" t="n">
        <x:f>IF(AND(COUNTA(A70:J70,L70,O70,S70:T70,W70)&gt;0,OR(Listas!$B$20="Todos",I70=Listas!$B$20)),1,0)</x:f>
        <x:v>0</x:v>
      </x:c>
      <x:c r="Z70" s="194" t="n">
        <x:f>IF(AND(Y70=1,X70="",J70&lt;&gt;"Cancelado",NOT(OR(J70="Fechado",J70="Resolvido"))),1,0)</x:f>
        <x:v>0</x:v>
      </x:c>
      <x:c r="AA70" s="194" t="n">
        <x:f>IF(AND(Y70=1,X70="",OR(J70="Fechado",J70="Resolvido")),1,0)</x:f>
        <x:v>0</x:v>
      </x:c>
      <x:c r="AB70" s="194" t="n">
        <x:f>IF(Y70=0,0,IF(X70&lt;&gt;"",1,IF(Z70=0,0,IF(P70="ATRASADO",2,IF(AND(M70="ATRASADO",L70=""),3,IF(V70="ESCALAR",4,IF(V70="REVISAR BACKLOG",5,0)))))))</x:f>
        <x:v>0</x:v>
      </x:c>
      <x:c r="AC70" s="194" t="str">
        <x:f>IF(AB70=0,"",COUNTIFS($AB$5:$AB$204,"&gt;0",$AB$5:$AB$204,"&lt;"&amp;AB70)+COUNTIFS($AB$5:AB70,AB70))</x:f>
      </x:c>
      <x:c r="AD70" s="194" t="n">
        <x:f>IF(AND(A70&lt;&gt;"",X70=""),1,0)</x:f>
        <x:v>0</x:v>
      </x:c>
      <x:c r="AE70" s="194" t="n">
        <x:f>IF(AND(Y70=1,X70&lt;&gt;""),1,0)</x:f>
        <x:v>0</x:v>
      </x:c>
      <x:c r="AF70" s="194" t="n">
        <x:f>IF(L70="",1,0)</x:f>
        <x:v>1</x:v>
      </x:c>
    </x:row>
    <x:row r="71">
      <x:c r="A71" s="28"/>
      <x:c r="B71" s="41"/>
      <x:c r="C71" s="28"/>
      <x:c r="D71" s="28"/>
      <x:c r="E71" s="28"/>
      <x:c r="F71" s="28"/>
      <x:c r="G71" s="28"/>
      <x:c r="H71" s="28"/>
      <x:c r="I71" s="28"/>
      <x:c r="J71" s="28"/>
      <x:c r="K71" s="54" t="str">
        <x:f>IF(OR(A71="",X71&lt;&gt;""),"",B71+INDEX(Listas!$B$6:$B$9,MATCH(H71,Listas!$A$6:$A$9,0))/24)</x:f>
      </x:c>
      <x:c r="L71" s="41"/>
      <x:c r="M71" s="55" t="str">
        <x:f>IF(A71="","",IF(X71&lt;&gt;"","DADO PENDENTE",IF(J71="Cancelado","N.A.",IF(L71&lt;&gt;"",IF(L71&lt;=K71,"ATENDIDO","ATRASADO"),IF(OR(J71="Fechado",J71="Resolvido"),"SEM EVIDÊNCIA",IF(Listas!$B$18&gt;K71,"ATRASADO","PENDENTE"))))))</x:f>
      </x:c>
      <x:c r="N71" s="54" t="str">
        <x:f>IF(OR(A71="",X71&lt;&gt;""),"",B71+INDEX(Listas!$C$6:$C$9,MATCH(H71,Listas!$A$6:$A$9,0))/24)</x:f>
      </x:c>
      <x:c r="O71" s="41"/>
      <x:c r="P71" s="55" t="str">
        <x:f>IF(A71="","",IF(X71&lt;&gt;"","DADO PENDENTE",IF(J71="Cancelado","N.A.",IF(OR(J71="Fechado",J71="Resolvido"),IF(O71&lt;=N71,"ATENDIDO","ATRASADO"),IF(Listas!$B$18&gt;N71,"ATRASADO","PENDENTE")))))</x:f>
      </x:c>
      <x:c r="Q71" s="56" t="str">
        <x:f>IF(OR(A71="",X71&lt;&gt;"",J71="Cancelado"),"",24*IF(OR(J71="Fechado",J71="Resolvido"),O71-B71,Listas!$B$18-B71))</x:f>
      </x:c>
      <x:c r="R71" s="57" t="str">
        <x:f>IF(OR(A71="",X71&lt;&gt;"",J71="Cancelado"),"",INT(IF(OR(J71="Fechado",J71="Resolvido"),O71-B71,Listas!$B$18-B71)))</x:f>
      </x:c>
      <x:c r="S71" s="58"/>
      <x:c r="T71" s="58"/>
      <x:c r="U71" s="57" t="str">
        <x:f>IF(OR(A71="",X71&lt;&gt;"",J71="Cancelado"),"",S71*T71)</x:f>
      </x:c>
      <x:c r="V71" s="55" t="str">
        <x:f>IF(A71="","",IF(X71&lt;&gt;"","CORRIGIR DADOS",IF(J71="Cancelado","CANCELADO",IF(OR(J71="Fechado",J71="Resolvido"),"CONCLUÍDO",IF(OR(P71="ATRASADO",U71&gt;=Listas!$B$16),"ESCALAR",IF(AND(M71="ATRASADO",L71=""),"RESPONDER AGORA",IF(R71&gt;=Listas!$B$14,"REVISAR BACKLOG","ACOMPANHAR")))))))</x:f>
      </x:c>
      <x:c r="W71" s="28"/>
      <x:c r="X71" s="194" t="str">
        <x:f>IF(COUNTA(A71:J71,L71,O71,S71:T71,W71)=0,"",IF(OR(NOT(ISNUMBER(Listas!$B$14)),Listas!$B$14&lt;0,NOT(ISNUMBER(Listas!$B$16)),Listas!$B$16&lt;1,COUNT(Listas!$B$6:$C$9)&lt;&gt;8,MIN(Listas!$B$6:$C$9)&lt;=0),"Parâmetros inválidos",IF(A71="","ID ausente",IF(COUNTIFS($A$5:$A$204,A71)&lt;&gt;1,"ID duplicado",IF(OR(NOT(ISNUMBER(B71)),B71&lt;=0),"Abertura inválida",IF(OR(NOT(ISNUMBER(Listas!$B$18)),Listas!$B$18&lt;=0),"Data da análise inválida",IF(B71&gt;Listas!$B$18,"Abertura após análise",IF(COUNTIFS(Listas!$A$6:$A$9,H71)&lt;&gt;1,"Prioridade inválida",IF(COUNTIFS(Equipe!$A$5:$A$12,I71)&lt;&gt;1,"Responsável inválido",IF(COUNTIFS(Listas!$E$6:$E$11,J71)&lt;&gt;1,"Status inválido",IF(AND(L71&lt;&gt;"",OR(NOT(ISNUMBER(L71)),L71&lt;B71,L71&gt;Listas!$B$18)),"Resposta inválida",IF(AND(O71&lt;&gt;"",OR(NOT(ISNUMBER(O71)),O71&lt;B71,O71&gt;Listas!$B$18)),"Resolução inválida",IF(AND(OR(J71="Fechado",J71="Resolvido"),O71=""),"Conclusão sem resolução",IF(OR(NOT(ISNUMBER(S71)),S71&lt;1,S71&gt;5,IF(ISNUMBER(S71),S71&lt;&gt;INT(S71),FALSE),NOT(ISNUMBER(T71)),T71&lt;1,T71&gt;5,IF(ISNUMBER(T71),T71&lt;&gt;INT(T71),FALSE)),"Impacto ou urgência inválido",""))))))))))))))</x:f>
      </x:c>
      <x:c r="Y71" s="194" t="n">
        <x:f>IF(AND(COUNTA(A71:J71,L71,O71,S71:T71,W71)&gt;0,OR(Listas!$B$20="Todos",I71=Listas!$B$20)),1,0)</x:f>
        <x:v>0</x:v>
      </x:c>
      <x:c r="Z71" s="194" t="n">
        <x:f>IF(AND(Y71=1,X71="",J71&lt;&gt;"Cancelado",NOT(OR(J71="Fechado",J71="Resolvido"))),1,0)</x:f>
        <x:v>0</x:v>
      </x:c>
      <x:c r="AA71" s="194" t="n">
        <x:f>IF(AND(Y71=1,X71="",OR(J71="Fechado",J71="Resolvido")),1,0)</x:f>
        <x:v>0</x:v>
      </x:c>
      <x:c r="AB71" s="194" t="n">
        <x:f>IF(Y71=0,0,IF(X71&lt;&gt;"",1,IF(Z71=0,0,IF(P71="ATRASADO",2,IF(AND(M71="ATRASADO",L71=""),3,IF(V71="ESCALAR",4,IF(V71="REVISAR BACKLOG",5,0)))))))</x:f>
        <x:v>0</x:v>
      </x:c>
      <x:c r="AC71" s="194" t="str">
        <x:f>IF(AB71=0,"",COUNTIFS($AB$5:$AB$204,"&gt;0",$AB$5:$AB$204,"&lt;"&amp;AB71)+COUNTIFS($AB$5:AB71,AB71))</x:f>
      </x:c>
      <x:c r="AD71" s="194" t="n">
        <x:f>IF(AND(A71&lt;&gt;"",X71=""),1,0)</x:f>
        <x:v>0</x:v>
      </x:c>
      <x:c r="AE71" s="194" t="n">
        <x:f>IF(AND(Y71=1,X71&lt;&gt;""),1,0)</x:f>
        <x:v>0</x:v>
      </x:c>
      <x:c r="AF71" s="194" t="n">
        <x:f>IF(L71="",1,0)</x:f>
        <x:v>1</x:v>
      </x:c>
    </x:row>
    <x:row r="72">
      <x:c r="A72" s="28"/>
      <x:c r="B72" s="41"/>
      <x:c r="C72" s="28"/>
      <x:c r="D72" s="28"/>
      <x:c r="E72" s="28"/>
      <x:c r="F72" s="28"/>
      <x:c r="G72" s="28"/>
      <x:c r="H72" s="28"/>
      <x:c r="I72" s="28"/>
      <x:c r="J72" s="28"/>
      <x:c r="K72" s="54" t="str">
        <x:f>IF(OR(A72="",X72&lt;&gt;""),"",B72+INDEX(Listas!$B$6:$B$9,MATCH(H72,Listas!$A$6:$A$9,0))/24)</x:f>
      </x:c>
      <x:c r="L72" s="41"/>
      <x:c r="M72" s="55" t="str">
        <x:f>IF(A72="","",IF(X72&lt;&gt;"","DADO PENDENTE",IF(J72="Cancelado","N.A.",IF(L72&lt;&gt;"",IF(L72&lt;=K72,"ATENDIDO","ATRASADO"),IF(OR(J72="Fechado",J72="Resolvido"),"SEM EVIDÊNCIA",IF(Listas!$B$18&gt;K72,"ATRASADO","PENDENTE"))))))</x:f>
      </x:c>
      <x:c r="N72" s="54" t="str">
        <x:f>IF(OR(A72="",X72&lt;&gt;""),"",B72+INDEX(Listas!$C$6:$C$9,MATCH(H72,Listas!$A$6:$A$9,0))/24)</x:f>
      </x:c>
      <x:c r="O72" s="41"/>
      <x:c r="P72" s="55" t="str">
        <x:f>IF(A72="","",IF(X72&lt;&gt;"","DADO PENDENTE",IF(J72="Cancelado","N.A.",IF(OR(J72="Fechado",J72="Resolvido"),IF(O72&lt;=N72,"ATENDIDO","ATRASADO"),IF(Listas!$B$18&gt;N72,"ATRASADO","PENDENTE")))))</x:f>
      </x:c>
      <x:c r="Q72" s="56" t="str">
        <x:f>IF(OR(A72="",X72&lt;&gt;"",J72="Cancelado"),"",24*IF(OR(J72="Fechado",J72="Resolvido"),O72-B72,Listas!$B$18-B72))</x:f>
      </x:c>
      <x:c r="R72" s="57" t="str">
        <x:f>IF(OR(A72="",X72&lt;&gt;"",J72="Cancelado"),"",INT(IF(OR(J72="Fechado",J72="Resolvido"),O72-B72,Listas!$B$18-B72)))</x:f>
      </x:c>
      <x:c r="S72" s="58"/>
      <x:c r="T72" s="58"/>
      <x:c r="U72" s="57" t="str">
        <x:f>IF(OR(A72="",X72&lt;&gt;"",J72="Cancelado"),"",S72*T72)</x:f>
      </x:c>
      <x:c r="V72" s="55" t="str">
        <x:f>IF(A72="","",IF(X72&lt;&gt;"","CORRIGIR DADOS",IF(J72="Cancelado","CANCELADO",IF(OR(J72="Fechado",J72="Resolvido"),"CONCLUÍDO",IF(OR(P72="ATRASADO",U72&gt;=Listas!$B$16),"ESCALAR",IF(AND(M72="ATRASADO",L72=""),"RESPONDER AGORA",IF(R72&gt;=Listas!$B$14,"REVISAR BACKLOG","ACOMPANHAR")))))))</x:f>
      </x:c>
      <x:c r="W72" s="28"/>
      <x:c r="X72" s="194" t="str">
        <x:f>IF(COUNTA(A72:J72,L72,O72,S72:T72,W72)=0,"",IF(OR(NOT(ISNUMBER(Listas!$B$14)),Listas!$B$14&lt;0,NOT(ISNUMBER(Listas!$B$16)),Listas!$B$16&lt;1,COUNT(Listas!$B$6:$C$9)&lt;&gt;8,MIN(Listas!$B$6:$C$9)&lt;=0),"Parâmetros inválidos",IF(A72="","ID ausente",IF(COUNTIFS($A$5:$A$204,A72)&lt;&gt;1,"ID duplicado",IF(OR(NOT(ISNUMBER(B72)),B72&lt;=0),"Abertura inválida",IF(OR(NOT(ISNUMBER(Listas!$B$18)),Listas!$B$18&lt;=0),"Data da análise inválida",IF(B72&gt;Listas!$B$18,"Abertura após análise",IF(COUNTIFS(Listas!$A$6:$A$9,H72)&lt;&gt;1,"Prioridade inválida",IF(COUNTIFS(Equipe!$A$5:$A$12,I72)&lt;&gt;1,"Responsável inválido",IF(COUNTIFS(Listas!$E$6:$E$11,J72)&lt;&gt;1,"Status inválido",IF(AND(L72&lt;&gt;"",OR(NOT(ISNUMBER(L72)),L72&lt;B72,L72&gt;Listas!$B$18)),"Resposta inválida",IF(AND(O72&lt;&gt;"",OR(NOT(ISNUMBER(O72)),O72&lt;B72,O72&gt;Listas!$B$18)),"Resolução inválida",IF(AND(OR(J72="Fechado",J72="Resolvido"),O72=""),"Conclusão sem resolução",IF(OR(NOT(ISNUMBER(S72)),S72&lt;1,S72&gt;5,IF(ISNUMBER(S72),S72&lt;&gt;INT(S72),FALSE),NOT(ISNUMBER(T72)),T72&lt;1,T72&gt;5,IF(ISNUMBER(T72),T72&lt;&gt;INT(T72),FALSE)),"Impacto ou urgência inválido",""))))))))))))))</x:f>
      </x:c>
      <x:c r="Y72" s="194" t="n">
        <x:f>IF(AND(COUNTA(A72:J72,L72,O72,S72:T72,W72)&gt;0,OR(Listas!$B$20="Todos",I72=Listas!$B$20)),1,0)</x:f>
        <x:v>0</x:v>
      </x:c>
      <x:c r="Z72" s="194" t="n">
        <x:f>IF(AND(Y72=1,X72="",J72&lt;&gt;"Cancelado",NOT(OR(J72="Fechado",J72="Resolvido"))),1,0)</x:f>
        <x:v>0</x:v>
      </x:c>
      <x:c r="AA72" s="194" t="n">
        <x:f>IF(AND(Y72=1,X72="",OR(J72="Fechado",J72="Resolvido")),1,0)</x:f>
        <x:v>0</x:v>
      </x:c>
      <x:c r="AB72" s="194" t="n">
        <x:f>IF(Y72=0,0,IF(X72&lt;&gt;"",1,IF(Z72=0,0,IF(P72="ATRASADO",2,IF(AND(M72="ATRASADO",L72=""),3,IF(V72="ESCALAR",4,IF(V72="REVISAR BACKLOG",5,0)))))))</x:f>
        <x:v>0</x:v>
      </x:c>
      <x:c r="AC72" s="194" t="str">
        <x:f>IF(AB72=0,"",COUNTIFS($AB$5:$AB$204,"&gt;0",$AB$5:$AB$204,"&lt;"&amp;AB72)+COUNTIFS($AB$5:AB72,AB72))</x:f>
      </x:c>
      <x:c r="AD72" s="194" t="n">
        <x:f>IF(AND(A72&lt;&gt;"",X72=""),1,0)</x:f>
        <x:v>0</x:v>
      </x:c>
      <x:c r="AE72" s="194" t="n">
        <x:f>IF(AND(Y72=1,X72&lt;&gt;""),1,0)</x:f>
        <x:v>0</x:v>
      </x:c>
      <x:c r="AF72" s="194" t="n">
        <x:f>IF(L72="",1,0)</x:f>
        <x:v>1</x:v>
      </x:c>
    </x:row>
    <x:row r="73">
      <x:c r="A73" s="28"/>
      <x:c r="B73" s="41"/>
      <x:c r="C73" s="28"/>
      <x:c r="D73" s="28"/>
      <x:c r="E73" s="28"/>
      <x:c r="F73" s="28"/>
      <x:c r="G73" s="28"/>
      <x:c r="H73" s="28"/>
      <x:c r="I73" s="28"/>
      <x:c r="J73" s="28"/>
      <x:c r="K73" s="54" t="str">
        <x:f>IF(OR(A73="",X73&lt;&gt;""),"",B73+INDEX(Listas!$B$6:$B$9,MATCH(H73,Listas!$A$6:$A$9,0))/24)</x:f>
      </x:c>
      <x:c r="L73" s="41"/>
      <x:c r="M73" s="55" t="str">
        <x:f>IF(A73="","",IF(X73&lt;&gt;"","DADO PENDENTE",IF(J73="Cancelado","N.A.",IF(L73&lt;&gt;"",IF(L73&lt;=K73,"ATENDIDO","ATRASADO"),IF(OR(J73="Fechado",J73="Resolvido"),"SEM EVIDÊNCIA",IF(Listas!$B$18&gt;K73,"ATRASADO","PENDENTE"))))))</x:f>
      </x:c>
      <x:c r="N73" s="54" t="str">
        <x:f>IF(OR(A73="",X73&lt;&gt;""),"",B73+INDEX(Listas!$C$6:$C$9,MATCH(H73,Listas!$A$6:$A$9,0))/24)</x:f>
      </x:c>
      <x:c r="O73" s="41"/>
      <x:c r="P73" s="55" t="str">
        <x:f>IF(A73="","",IF(X73&lt;&gt;"","DADO PENDENTE",IF(J73="Cancelado","N.A.",IF(OR(J73="Fechado",J73="Resolvido"),IF(O73&lt;=N73,"ATENDIDO","ATRASADO"),IF(Listas!$B$18&gt;N73,"ATRASADO","PENDENTE")))))</x:f>
      </x:c>
      <x:c r="Q73" s="56" t="str">
        <x:f>IF(OR(A73="",X73&lt;&gt;"",J73="Cancelado"),"",24*IF(OR(J73="Fechado",J73="Resolvido"),O73-B73,Listas!$B$18-B73))</x:f>
      </x:c>
      <x:c r="R73" s="57" t="str">
        <x:f>IF(OR(A73="",X73&lt;&gt;"",J73="Cancelado"),"",INT(IF(OR(J73="Fechado",J73="Resolvido"),O73-B73,Listas!$B$18-B73)))</x:f>
      </x:c>
      <x:c r="S73" s="58"/>
      <x:c r="T73" s="58"/>
      <x:c r="U73" s="57" t="str">
        <x:f>IF(OR(A73="",X73&lt;&gt;"",J73="Cancelado"),"",S73*T73)</x:f>
      </x:c>
      <x:c r="V73" s="55" t="str">
        <x:f>IF(A73="","",IF(X73&lt;&gt;"","CORRIGIR DADOS",IF(J73="Cancelado","CANCELADO",IF(OR(J73="Fechado",J73="Resolvido"),"CONCLUÍDO",IF(OR(P73="ATRASADO",U73&gt;=Listas!$B$16),"ESCALAR",IF(AND(M73="ATRASADO",L73=""),"RESPONDER AGORA",IF(R73&gt;=Listas!$B$14,"REVISAR BACKLOG","ACOMPANHAR")))))))</x:f>
      </x:c>
      <x:c r="W73" s="28"/>
      <x:c r="X73" s="194" t="str">
        <x:f>IF(COUNTA(A73:J73,L73,O73,S73:T73,W73)=0,"",IF(OR(NOT(ISNUMBER(Listas!$B$14)),Listas!$B$14&lt;0,NOT(ISNUMBER(Listas!$B$16)),Listas!$B$16&lt;1,COUNT(Listas!$B$6:$C$9)&lt;&gt;8,MIN(Listas!$B$6:$C$9)&lt;=0),"Parâmetros inválidos",IF(A73="","ID ausente",IF(COUNTIFS($A$5:$A$204,A73)&lt;&gt;1,"ID duplicado",IF(OR(NOT(ISNUMBER(B73)),B73&lt;=0),"Abertura inválida",IF(OR(NOT(ISNUMBER(Listas!$B$18)),Listas!$B$18&lt;=0),"Data da análise inválida",IF(B73&gt;Listas!$B$18,"Abertura após análise",IF(COUNTIFS(Listas!$A$6:$A$9,H73)&lt;&gt;1,"Prioridade inválida",IF(COUNTIFS(Equipe!$A$5:$A$12,I73)&lt;&gt;1,"Responsável inválido",IF(COUNTIFS(Listas!$E$6:$E$11,J73)&lt;&gt;1,"Status inválido",IF(AND(L73&lt;&gt;"",OR(NOT(ISNUMBER(L73)),L73&lt;B73,L73&gt;Listas!$B$18)),"Resposta inválida",IF(AND(O73&lt;&gt;"",OR(NOT(ISNUMBER(O73)),O73&lt;B73,O73&gt;Listas!$B$18)),"Resolução inválida",IF(AND(OR(J73="Fechado",J73="Resolvido"),O73=""),"Conclusão sem resolução",IF(OR(NOT(ISNUMBER(S73)),S73&lt;1,S73&gt;5,IF(ISNUMBER(S73),S73&lt;&gt;INT(S73),FALSE),NOT(ISNUMBER(T73)),T73&lt;1,T73&gt;5,IF(ISNUMBER(T73),T73&lt;&gt;INT(T73),FALSE)),"Impacto ou urgência inválido",""))))))))))))))</x:f>
      </x:c>
      <x:c r="Y73" s="194" t="n">
        <x:f>IF(AND(COUNTA(A73:J73,L73,O73,S73:T73,W73)&gt;0,OR(Listas!$B$20="Todos",I73=Listas!$B$20)),1,0)</x:f>
        <x:v>0</x:v>
      </x:c>
      <x:c r="Z73" s="194" t="n">
        <x:f>IF(AND(Y73=1,X73="",J73&lt;&gt;"Cancelado",NOT(OR(J73="Fechado",J73="Resolvido"))),1,0)</x:f>
        <x:v>0</x:v>
      </x:c>
      <x:c r="AA73" s="194" t="n">
        <x:f>IF(AND(Y73=1,X73="",OR(J73="Fechado",J73="Resolvido")),1,0)</x:f>
        <x:v>0</x:v>
      </x:c>
      <x:c r="AB73" s="194" t="n">
        <x:f>IF(Y73=0,0,IF(X73&lt;&gt;"",1,IF(Z73=0,0,IF(P73="ATRASADO",2,IF(AND(M73="ATRASADO",L73=""),3,IF(V73="ESCALAR",4,IF(V73="REVISAR BACKLOG",5,0)))))))</x:f>
        <x:v>0</x:v>
      </x:c>
      <x:c r="AC73" s="194" t="str">
        <x:f>IF(AB73=0,"",COUNTIFS($AB$5:$AB$204,"&gt;0",$AB$5:$AB$204,"&lt;"&amp;AB73)+COUNTIFS($AB$5:AB73,AB73))</x:f>
      </x:c>
      <x:c r="AD73" s="194" t="n">
        <x:f>IF(AND(A73&lt;&gt;"",X73=""),1,0)</x:f>
        <x:v>0</x:v>
      </x:c>
      <x:c r="AE73" s="194" t="n">
        <x:f>IF(AND(Y73=1,X73&lt;&gt;""),1,0)</x:f>
        <x:v>0</x:v>
      </x:c>
      <x:c r="AF73" s="194" t="n">
        <x:f>IF(L73="",1,0)</x:f>
        <x:v>1</x:v>
      </x:c>
    </x:row>
    <x:row r="74">
      <x:c r="A74" s="28"/>
      <x:c r="B74" s="41"/>
      <x:c r="C74" s="28"/>
      <x:c r="D74" s="28"/>
      <x:c r="E74" s="28"/>
      <x:c r="F74" s="28"/>
      <x:c r="G74" s="28"/>
      <x:c r="H74" s="28"/>
      <x:c r="I74" s="28"/>
      <x:c r="J74" s="28"/>
      <x:c r="K74" s="54" t="str">
        <x:f>IF(OR(A74="",X74&lt;&gt;""),"",B74+INDEX(Listas!$B$6:$B$9,MATCH(H74,Listas!$A$6:$A$9,0))/24)</x:f>
      </x:c>
      <x:c r="L74" s="41"/>
      <x:c r="M74" s="55" t="str">
        <x:f>IF(A74="","",IF(X74&lt;&gt;"","DADO PENDENTE",IF(J74="Cancelado","N.A.",IF(L74&lt;&gt;"",IF(L74&lt;=K74,"ATENDIDO","ATRASADO"),IF(OR(J74="Fechado",J74="Resolvido"),"SEM EVIDÊNCIA",IF(Listas!$B$18&gt;K74,"ATRASADO","PENDENTE"))))))</x:f>
      </x:c>
      <x:c r="N74" s="54" t="str">
        <x:f>IF(OR(A74="",X74&lt;&gt;""),"",B74+INDEX(Listas!$C$6:$C$9,MATCH(H74,Listas!$A$6:$A$9,0))/24)</x:f>
      </x:c>
      <x:c r="O74" s="41"/>
      <x:c r="P74" s="55" t="str">
        <x:f>IF(A74="","",IF(X74&lt;&gt;"","DADO PENDENTE",IF(J74="Cancelado","N.A.",IF(OR(J74="Fechado",J74="Resolvido"),IF(O74&lt;=N74,"ATENDIDO","ATRASADO"),IF(Listas!$B$18&gt;N74,"ATRASADO","PENDENTE")))))</x:f>
      </x:c>
      <x:c r="Q74" s="56" t="str">
        <x:f>IF(OR(A74="",X74&lt;&gt;"",J74="Cancelado"),"",24*IF(OR(J74="Fechado",J74="Resolvido"),O74-B74,Listas!$B$18-B74))</x:f>
      </x:c>
      <x:c r="R74" s="57" t="str">
        <x:f>IF(OR(A74="",X74&lt;&gt;"",J74="Cancelado"),"",INT(IF(OR(J74="Fechado",J74="Resolvido"),O74-B74,Listas!$B$18-B74)))</x:f>
      </x:c>
      <x:c r="S74" s="58"/>
      <x:c r="T74" s="58"/>
      <x:c r="U74" s="57" t="str">
        <x:f>IF(OR(A74="",X74&lt;&gt;"",J74="Cancelado"),"",S74*T74)</x:f>
      </x:c>
      <x:c r="V74" s="55" t="str">
        <x:f>IF(A74="","",IF(X74&lt;&gt;"","CORRIGIR DADOS",IF(J74="Cancelado","CANCELADO",IF(OR(J74="Fechado",J74="Resolvido"),"CONCLUÍDO",IF(OR(P74="ATRASADO",U74&gt;=Listas!$B$16),"ESCALAR",IF(AND(M74="ATRASADO",L74=""),"RESPONDER AGORA",IF(R74&gt;=Listas!$B$14,"REVISAR BACKLOG","ACOMPANHAR")))))))</x:f>
      </x:c>
      <x:c r="W74" s="28"/>
      <x:c r="X74" s="194" t="str">
        <x:f>IF(COUNTA(A74:J74,L74,O74,S74:T74,W74)=0,"",IF(OR(NOT(ISNUMBER(Listas!$B$14)),Listas!$B$14&lt;0,NOT(ISNUMBER(Listas!$B$16)),Listas!$B$16&lt;1,COUNT(Listas!$B$6:$C$9)&lt;&gt;8,MIN(Listas!$B$6:$C$9)&lt;=0),"Parâmetros inválidos",IF(A74="","ID ausente",IF(COUNTIFS($A$5:$A$204,A74)&lt;&gt;1,"ID duplicado",IF(OR(NOT(ISNUMBER(B74)),B74&lt;=0),"Abertura inválida",IF(OR(NOT(ISNUMBER(Listas!$B$18)),Listas!$B$18&lt;=0),"Data da análise inválida",IF(B74&gt;Listas!$B$18,"Abertura após análise",IF(COUNTIFS(Listas!$A$6:$A$9,H74)&lt;&gt;1,"Prioridade inválida",IF(COUNTIFS(Equipe!$A$5:$A$12,I74)&lt;&gt;1,"Responsável inválido",IF(COUNTIFS(Listas!$E$6:$E$11,J74)&lt;&gt;1,"Status inválido",IF(AND(L74&lt;&gt;"",OR(NOT(ISNUMBER(L74)),L74&lt;B74,L74&gt;Listas!$B$18)),"Resposta inválida",IF(AND(O74&lt;&gt;"",OR(NOT(ISNUMBER(O74)),O74&lt;B74,O74&gt;Listas!$B$18)),"Resolução inválida",IF(AND(OR(J74="Fechado",J74="Resolvido"),O74=""),"Conclusão sem resolução",IF(OR(NOT(ISNUMBER(S74)),S74&lt;1,S74&gt;5,IF(ISNUMBER(S74),S74&lt;&gt;INT(S74),FALSE),NOT(ISNUMBER(T74)),T74&lt;1,T74&gt;5,IF(ISNUMBER(T74),T74&lt;&gt;INT(T74),FALSE)),"Impacto ou urgência inválido",""))))))))))))))</x:f>
      </x:c>
      <x:c r="Y74" s="194" t="n">
        <x:f>IF(AND(COUNTA(A74:J74,L74,O74,S74:T74,W74)&gt;0,OR(Listas!$B$20="Todos",I74=Listas!$B$20)),1,0)</x:f>
        <x:v>0</x:v>
      </x:c>
      <x:c r="Z74" s="194" t="n">
        <x:f>IF(AND(Y74=1,X74="",J74&lt;&gt;"Cancelado",NOT(OR(J74="Fechado",J74="Resolvido"))),1,0)</x:f>
        <x:v>0</x:v>
      </x:c>
      <x:c r="AA74" s="194" t="n">
        <x:f>IF(AND(Y74=1,X74="",OR(J74="Fechado",J74="Resolvido")),1,0)</x:f>
        <x:v>0</x:v>
      </x:c>
      <x:c r="AB74" s="194" t="n">
        <x:f>IF(Y74=0,0,IF(X74&lt;&gt;"",1,IF(Z74=0,0,IF(P74="ATRASADO",2,IF(AND(M74="ATRASADO",L74=""),3,IF(V74="ESCALAR",4,IF(V74="REVISAR BACKLOG",5,0)))))))</x:f>
        <x:v>0</x:v>
      </x:c>
      <x:c r="AC74" s="194" t="str">
        <x:f>IF(AB74=0,"",COUNTIFS($AB$5:$AB$204,"&gt;0",$AB$5:$AB$204,"&lt;"&amp;AB74)+COUNTIFS($AB$5:AB74,AB74))</x:f>
      </x:c>
      <x:c r="AD74" s="194" t="n">
        <x:f>IF(AND(A74&lt;&gt;"",X74=""),1,0)</x:f>
        <x:v>0</x:v>
      </x:c>
      <x:c r="AE74" s="194" t="n">
        <x:f>IF(AND(Y74=1,X74&lt;&gt;""),1,0)</x:f>
        <x:v>0</x:v>
      </x:c>
      <x:c r="AF74" s="194" t="n">
        <x:f>IF(L74="",1,0)</x:f>
        <x:v>1</x:v>
      </x:c>
    </x:row>
    <x:row r="75">
      <x:c r="A75" s="28"/>
      <x:c r="B75" s="41"/>
      <x:c r="C75" s="28"/>
      <x:c r="D75" s="28"/>
      <x:c r="E75" s="28"/>
      <x:c r="F75" s="28"/>
      <x:c r="G75" s="28"/>
      <x:c r="H75" s="28"/>
      <x:c r="I75" s="28"/>
      <x:c r="J75" s="28"/>
      <x:c r="K75" s="54" t="str">
        <x:f>IF(OR(A75="",X75&lt;&gt;""),"",B75+INDEX(Listas!$B$6:$B$9,MATCH(H75,Listas!$A$6:$A$9,0))/24)</x:f>
      </x:c>
      <x:c r="L75" s="41"/>
      <x:c r="M75" s="55" t="str">
        <x:f>IF(A75="","",IF(X75&lt;&gt;"","DADO PENDENTE",IF(J75="Cancelado","N.A.",IF(L75&lt;&gt;"",IF(L75&lt;=K75,"ATENDIDO","ATRASADO"),IF(OR(J75="Fechado",J75="Resolvido"),"SEM EVIDÊNCIA",IF(Listas!$B$18&gt;K75,"ATRASADO","PENDENTE"))))))</x:f>
      </x:c>
      <x:c r="N75" s="54" t="str">
        <x:f>IF(OR(A75="",X75&lt;&gt;""),"",B75+INDEX(Listas!$C$6:$C$9,MATCH(H75,Listas!$A$6:$A$9,0))/24)</x:f>
      </x:c>
      <x:c r="O75" s="41"/>
      <x:c r="P75" s="55" t="str">
        <x:f>IF(A75="","",IF(X75&lt;&gt;"","DADO PENDENTE",IF(J75="Cancelado","N.A.",IF(OR(J75="Fechado",J75="Resolvido"),IF(O75&lt;=N75,"ATENDIDO","ATRASADO"),IF(Listas!$B$18&gt;N75,"ATRASADO","PENDENTE")))))</x:f>
      </x:c>
      <x:c r="Q75" s="56" t="str">
        <x:f>IF(OR(A75="",X75&lt;&gt;"",J75="Cancelado"),"",24*IF(OR(J75="Fechado",J75="Resolvido"),O75-B75,Listas!$B$18-B75))</x:f>
      </x:c>
      <x:c r="R75" s="57" t="str">
        <x:f>IF(OR(A75="",X75&lt;&gt;"",J75="Cancelado"),"",INT(IF(OR(J75="Fechado",J75="Resolvido"),O75-B75,Listas!$B$18-B75)))</x:f>
      </x:c>
      <x:c r="S75" s="58"/>
      <x:c r="T75" s="58"/>
      <x:c r="U75" s="57" t="str">
        <x:f>IF(OR(A75="",X75&lt;&gt;"",J75="Cancelado"),"",S75*T75)</x:f>
      </x:c>
      <x:c r="V75" s="55" t="str">
        <x:f>IF(A75="","",IF(X75&lt;&gt;"","CORRIGIR DADOS",IF(J75="Cancelado","CANCELADO",IF(OR(J75="Fechado",J75="Resolvido"),"CONCLUÍDO",IF(OR(P75="ATRASADO",U75&gt;=Listas!$B$16),"ESCALAR",IF(AND(M75="ATRASADO",L75=""),"RESPONDER AGORA",IF(R75&gt;=Listas!$B$14,"REVISAR BACKLOG","ACOMPANHAR")))))))</x:f>
      </x:c>
      <x:c r="W75" s="28"/>
      <x:c r="X75" s="194" t="str">
        <x:f>IF(COUNTA(A75:J75,L75,O75,S75:T75,W75)=0,"",IF(OR(NOT(ISNUMBER(Listas!$B$14)),Listas!$B$14&lt;0,NOT(ISNUMBER(Listas!$B$16)),Listas!$B$16&lt;1,COUNT(Listas!$B$6:$C$9)&lt;&gt;8,MIN(Listas!$B$6:$C$9)&lt;=0),"Parâmetros inválidos",IF(A75="","ID ausente",IF(COUNTIFS($A$5:$A$204,A75)&lt;&gt;1,"ID duplicado",IF(OR(NOT(ISNUMBER(B75)),B75&lt;=0),"Abertura inválida",IF(OR(NOT(ISNUMBER(Listas!$B$18)),Listas!$B$18&lt;=0),"Data da análise inválida",IF(B75&gt;Listas!$B$18,"Abertura após análise",IF(COUNTIFS(Listas!$A$6:$A$9,H75)&lt;&gt;1,"Prioridade inválida",IF(COUNTIFS(Equipe!$A$5:$A$12,I75)&lt;&gt;1,"Responsável inválido",IF(COUNTIFS(Listas!$E$6:$E$11,J75)&lt;&gt;1,"Status inválido",IF(AND(L75&lt;&gt;"",OR(NOT(ISNUMBER(L75)),L75&lt;B75,L75&gt;Listas!$B$18)),"Resposta inválida",IF(AND(O75&lt;&gt;"",OR(NOT(ISNUMBER(O75)),O75&lt;B75,O75&gt;Listas!$B$18)),"Resolução inválida",IF(AND(OR(J75="Fechado",J75="Resolvido"),O75=""),"Conclusão sem resolução",IF(OR(NOT(ISNUMBER(S75)),S75&lt;1,S75&gt;5,IF(ISNUMBER(S75),S75&lt;&gt;INT(S75),FALSE),NOT(ISNUMBER(T75)),T75&lt;1,T75&gt;5,IF(ISNUMBER(T75),T75&lt;&gt;INT(T75),FALSE)),"Impacto ou urgência inválido",""))))))))))))))</x:f>
      </x:c>
      <x:c r="Y75" s="194" t="n">
        <x:f>IF(AND(COUNTA(A75:J75,L75,O75,S75:T75,W75)&gt;0,OR(Listas!$B$20="Todos",I75=Listas!$B$20)),1,0)</x:f>
        <x:v>0</x:v>
      </x:c>
      <x:c r="Z75" s="194" t="n">
        <x:f>IF(AND(Y75=1,X75="",J75&lt;&gt;"Cancelado",NOT(OR(J75="Fechado",J75="Resolvido"))),1,0)</x:f>
        <x:v>0</x:v>
      </x:c>
      <x:c r="AA75" s="194" t="n">
        <x:f>IF(AND(Y75=1,X75="",OR(J75="Fechado",J75="Resolvido")),1,0)</x:f>
        <x:v>0</x:v>
      </x:c>
      <x:c r="AB75" s="194" t="n">
        <x:f>IF(Y75=0,0,IF(X75&lt;&gt;"",1,IF(Z75=0,0,IF(P75="ATRASADO",2,IF(AND(M75="ATRASADO",L75=""),3,IF(V75="ESCALAR",4,IF(V75="REVISAR BACKLOG",5,0)))))))</x:f>
        <x:v>0</x:v>
      </x:c>
      <x:c r="AC75" s="194" t="str">
        <x:f>IF(AB75=0,"",COUNTIFS($AB$5:$AB$204,"&gt;0",$AB$5:$AB$204,"&lt;"&amp;AB75)+COUNTIFS($AB$5:AB75,AB75))</x:f>
      </x:c>
      <x:c r="AD75" s="194" t="n">
        <x:f>IF(AND(A75&lt;&gt;"",X75=""),1,0)</x:f>
        <x:v>0</x:v>
      </x:c>
      <x:c r="AE75" s="194" t="n">
        <x:f>IF(AND(Y75=1,X75&lt;&gt;""),1,0)</x:f>
        <x:v>0</x:v>
      </x:c>
      <x:c r="AF75" s="194" t="n">
        <x:f>IF(L75="",1,0)</x:f>
        <x:v>1</x:v>
      </x:c>
    </x:row>
    <x:row r="76">
      <x:c r="A76" s="28"/>
      <x:c r="B76" s="41"/>
      <x:c r="C76" s="28"/>
      <x:c r="D76" s="28"/>
      <x:c r="E76" s="28"/>
      <x:c r="F76" s="28"/>
      <x:c r="G76" s="28"/>
      <x:c r="H76" s="28"/>
      <x:c r="I76" s="28"/>
      <x:c r="J76" s="28"/>
      <x:c r="K76" s="54" t="str">
        <x:f>IF(OR(A76="",X76&lt;&gt;""),"",B76+INDEX(Listas!$B$6:$B$9,MATCH(H76,Listas!$A$6:$A$9,0))/24)</x:f>
      </x:c>
      <x:c r="L76" s="41"/>
      <x:c r="M76" s="55" t="str">
        <x:f>IF(A76="","",IF(X76&lt;&gt;"","DADO PENDENTE",IF(J76="Cancelado","N.A.",IF(L76&lt;&gt;"",IF(L76&lt;=K76,"ATENDIDO","ATRASADO"),IF(OR(J76="Fechado",J76="Resolvido"),"SEM EVIDÊNCIA",IF(Listas!$B$18&gt;K76,"ATRASADO","PENDENTE"))))))</x:f>
      </x:c>
      <x:c r="N76" s="54" t="str">
        <x:f>IF(OR(A76="",X76&lt;&gt;""),"",B76+INDEX(Listas!$C$6:$C$9,MATCH(H76,Listas!$A$6:$A$9,0))/24)</x:f>
      </x:c>
      <x:c r="O76" s="41"/>
      <x:c r="P76" s="55" t="str">
        <x:f>IF(A76="","",IF(X76&lt;&gt;"","DADO PENDENTE",IF(J76="Cancelado","N.A.",IF(OR(J76="Fechado",J76="Resolvido"),IF(O76&lt;=N76,"ATENDIDO","ATRASADO"),IF(Listas!$B$18&gt;N76,"ATRASADO","PENDENTE")))))</x:f>
      </x:c>
      <x:c r="Q76" s="56" t="str">
        <x:f>IF(OR(A76="",X76&lt;&gt;"",J76="Cancelado"),"",24*IF(OR(J76="Fechado",J76="Resolvido"),O76-B76,Listas!$B$18-B76))</x:f>
      </x:c>
      <x:c r="R76" s="57" t="str">
        <x:f>IF(OR(A76="",X76&lt;&gt;"",J76="Cancelado"),"",INT(IF(OR(J76="Fechado",J76="Resolvido"),O76-B76,Listas!$B$18-B76)))</x:f>
      </x:c>
      <x:c r="S76" s="58"/>
      <x:c r="T76" s="58"/>
      <x:c r="U76" s="57" t="str">
        <x:f>IF(OR(A76="",X76&lt;&gt;"",J76="Cancelado"),"",S76*T76)</x:f>
      </x:c>
      <x:c r="V76" s="55" t="str">
        <x:f>IF(A76="","",IF(X76&lt;&gt;"","CORRIGIR DADOS",IF(J76="Cancelado","CANCELADO",IF(OR(J76="Fechado",J76="Resolvido"),"CONCLUÍDO",IF(OR(P76="ATRASADO",U76&gt;=Listas!$B$16),"ESCALAR",IF(AND(M76="ATRASADO",L76=""),"RESPONDER AGORA",IF(R76&gt;=Listas!$B$14,"REVISAR BACKLOG","ACOMPANHAR")))))))</x:f>
      </x:c>
      <x:c r="W76" s="28"/>
      <x:c r="X76" s="194" t="str">
        <x:f>IF(COUNTA(A76:J76,L76,O76,S76:T76,W76)=0,"",IF(OR(NOT(ISNUMBER(Listas!$B$14)),Listas!$B$14&lt;0,NOT(ISNUMBER(Listas!$B$16)),Listas!$B$16&lt;1,COUNT(Listas!$B$6:$C$9)&lt;&gt;8,MIN(Listas!$B$6:$C$9)&lt;=0),"Parâmetros inválidos",IF(A76="","ID ausente",IF(COUNTIFS($A$5:$A$204,A76)&lt;&gt;1,"ID duplicado",IF(OR(NOT(ISNUMBER(B76)),B76&lt;=0),"Abertura inválida",IF(OR(NOT(ISNUMBER(Listas!$B$18)),Listas!$B$18&lt;=0),"Data da análise inválida",IF(B76&gt;Listas!$B$18,"Abertura após análise",IF(COUNTIFS(Listas!$A$6:$A$9,H76)&lt;&gt;1,"Prioridade inválida",IF(COUNTIFS(Equipe!$A$5:$A$12,I76)&lt;&gt;1,"Responsável inválido",IF(COUNTIFS(Listas!$E$6:$E$11,J76)&lt;&gt;1,"Status inválido",IF(AND(L76&lt;&gt;"",OR(NOT(ISNUMBER(L76)),L76&lt;B76,L76&gt;Listas!$B$18)),"Resposta inválida",IF(AND(O76&lt;&gt;"",OR(NOT(ISNUMBER(O76)),O76&lt;B76,O76&gt;Listas!$B$18)),"Resolução inválida",IF(AND(OR(J76="Fechado",J76="Resolvido"),O76=""),"Conclusão sem resolução",IF(OR(NOT(ISNUMBER(S76)),S76&lt;1,S76&gt;5,IF(ISNUMBER(S76),S76&lt;&gt;INT(S76),FALSE),NOT(ISNUMBER(T76)),T76&lt;1,T76&gt;5,IF(ISNUMBER(T76),T76&lt;&gt;INT(T76),FALSE)),"Impacto ou urgência inválido",""))))))))))))))</x:f>
      </x:c>
      <x:c r="Y76" s="194" t="n">
        <x:f>IF(AND(COUNTA(A76:J76,L76,O76,S76:T76,W76)&gt;0,OR(Listas!$B$20="Todos",I76=Listas!$B$20)),1,0)</x:f>
        <x:v>0</x:v>
      </x:c>
      <x:c r="Z76" s="194" t="n">
        <x:f>IF(AND(Y76=1,X76="",J76&lt;&gt;"Cancelado",NOT(OR(J76="Fechado",J76="Resolvido"))),1,0)</x:f>
        <x:v>0</x:v>
      </x:c>
      <x:c r="AA76" s="194" t="n">
        <x:f>IF(AND(Y76=1,X76="",OR(J76="Fechado",J76="Resolvido")),1,0)</x:f>
        <x:v>0</x:v>
      </x:c>
      <x:c r="AB76" s="194" t="n">
        <x:f>IF(Y76=0,0,IF(X76&lt;&gt;"",1,IF(Z76=0,0,IF(P76="ATRASADO",2,IF(AND(M76="ATRASADO",L76=""),3,IF(V76="ESCALAR",4,IF(V76="REVISAR BACKLOG",5,0)))))))</x:f>
        <x:v>0</x:v>
      </x:c>
      <x:c r="AC76" s="194" t="str">
        <x:f>IF(AB76=0,"",COUNTIFS($AB$5:$AB$204,"&gt;0",$AB$5:$AB$204,"&lt;"&amp;AB76)+COUNTIFS($AB$5:AB76,AB76))</x:f>
      </x:c>
      <x:c r="AD76" s="194" t="n">
        <x:f>IF(AND(A76&lt;&gt;"",X76=""),1,0)</x:f>
        <x:v>0</x:v>
      </x:c>
      <x:c r="AE76" s="194" t="n">
        <x:f>IF(AND(Y76=1,X76&lt;&gt;""),1,0)</x:f>
        <x:v>0</x:v>
      </x:c>
      <x:c r="AF76" s="194" t="n">
        <x:f>IF(L76="",1,0)</x:f>
        <x:v>1</x:v>
      </x:c>
    </x:row>
    <x:row r="77">
      <x:c r="A77" s="28"/>
      <x:c r="B77" s="41"/>
      <x:c r="C77" s="28"/>
      <x:c r="D77" s="28"/>
      <x:c r="E77" s="28"/>
      <x:c r="F77" s="28"/>
      <x:c r="G77" s="28"/>
      <x:c r="H77" s="28"/>
      <x:c r="I77" s="28"/>
      <x:c r="J77" s="28"/>
      <x:c r="K77" s="54" t="str">
        <x:f>IF(OR(A77="",X77&lt;&gt;""),"",B77+INDEX(Listas!$B$6:$B$9,MATCH(H77,Listas!$A$6:$A$9,0))/24)</x:f>
      </x:c>
      <x:c r="L77" s="41"/>
      <x:c r="M77" s="55" t="str">
        <x:f>IF(A77="","",IF(X77&lt;&gt;"","DADO PENDENTE",IF(J77="Cancelado","N.A.",IF(L77&lt;&gt;"",IF(L77&lt;=K77,"ATENDIDO","ATRASADO"),IF(OR(J77="Fechado",J77="Resolvido"),"SEM EVIDÊNCIA",IF(Listas!$B$18&gt;K77,"ATRASADO","PENDENTE"))))))</x:f>
      </x:c>
      <x:c r="N77" s="54" t="str">
        <x:f>IF(OR(A77="",X77&lt;&gt;""),"",B77+INDEX(Listas!$C$6:$C$9,MATCH(H77,Listas!$A$6:$A$9,0))/24)</x:f>
      </x:c>
      <x:c r="O77" s="41"/>
      <x:c r="P77" s="55" t="str">
        <x:f>IF(A77="","",IF(X77&lt;&gt;"","DADO PENDENTE",IF(J77="Cancelado","N.A.",IF(OR(J77="Fechado",J77="Resolvido"),IF(O77&lt;=N77,"ATENDIDO","ATRASADO"),IF(Listas!$B$18&gt;N77,"ATRASADO","PENDENTE")))))</x:f>
      </x:c>
      <x:c r="Q77" s="56" t="str">
        <x:f>IF(OR(A77="",X77&lt;&gt;"",J77="Cancelado"),"",24*IF(OR(J77="Fechado",J77="Resolvido"),O77-B77,Listas!$B$18-B77))</x:f>
      </x:c>
      <x:c r="R77" s="57" t="str">
        <x:f>IF(OR(A77="",X77&lt;&gt;"",J77="Cancelado"),"",INT(IF(OR(J77="Fechado",J77="Resolvido"),O77-B77,Listas!$B$18-B77)))</x:f>
      </x:c>
      <x:c r="S77" s="58"/>
      <x:c r="T77" s="58"/>
      <x:c r="U77" s="57" t="str">
        <x:f>IF(OR(A77="",X77&lt;&gt;"",J77="Cancelado"),"",S77*T77)</x:f>
      </x:c>
      <x:c r="V77" s="55" t="str">
        <x:f>IF(A77="","",IF(X77&lt;&gt;"","CORRIGIR DADOS",IF(J77="Cancelado","CANCELADO",IF(OR(J77="Fechado",J77="Resolvido"),"CONCLUÍDO",IF(OR(P77="ATRASADO",U77&gt;=Listas!$B$16),"ESCALAR",IF(AND(M77="ATRASADO",L77=""),"RESPONDER AGORA",IF(R77&gt;=Listas!$B$14,"REVISAR BACKLOG","ACOMPANHAR")))))))</x:f>
      </x:c>
      <x:c r="W77" s="28"/>
      <x:c r="X77" s="194" t="str">
        <x:f>IF(COUNTA(A77:J77,L77,O77,S77:T77,W77)=0,"",IF(OR(NOT(ISNUMBER(Listas!$B$14)),Listas!$B$14&lt;0,NOT(ISNUMBER(Listas!$B$16)),Listas!$B$16&lt;1,COUNT(Listas!$B$6:$C$9)&lt;&gt;8,MIN(Listas!$B$6:$C$9)&lt;=0),"Parâmetros inválidos",IF(A77="","ID ausente",IF(COUNTIFS($A$5:$A$204,A77)&lt;&gt;1,"ID duplicado",IF(OR(NOT(ISNUMBER(B77)),B77&lt;=0),"Abertura inválida",IF(OR(NOT(ISNUMBER(Listas!$B$18)),Listas!$B$18&lt;=0),"Data da análise inválida",IF(B77&gt;Listas!$B$18,"Abertura após análise",IF(COUNTIFS(Listas!$A$6:$A$9,H77)&lt;&gt;1,"Prioridade inválida",IF(COUNTIFS(Equipe!$A$5:$A$12,I77)&lt;&gt;1,"Responsável inválido",IF(COUNTIFS(Listas!$E$6:$E$11,J77)&lt;&gt;1,"Status inválido",IF(AND(L77&lt;&gt;"",OR(NOT(ISNUMBER(L77)),L77&lt;B77,L77&gt;Listas!$B$18)),"Resposta inválida",IF(AND(O77&lt;&gt;"",OR(NOT(ISNUMBER(O77)),O77&lt;B77,O77&gt;Listas!$B$18)),"Resolução inválida",IF(AND(OR(J77="Fechado",J77="Resolvido"),O77=""),"Conclusão sem resolução",IF(OR(NOT(ISNUMBER(S77)),S77&lt;1,S77&gt;5,IF(ISNUMBER(S77),S77&lt;&gt;INT(S77),FALSE),NOT(ISNUMBER(T77)),T77&lt;1,T77&gt;5,IF(ISNUMBER(T77),T77&lt;&gt;INT(T77),FALSE)),"Impacto ou urgência inválido",""))))))))))))))</x:f>
      </x:c>
      <x:c r="Y77" s="194" t="n">
        <x:f>IF(AND(COUNTA(A77:J77,L77,O77,S77:T77,W77)&gt;0,OR(Listas!$B$20="Todos",I77=Listas!$B$20)),1,0)</x:f>
        <x:v>0</x:v>
      </x:c>
      <x:c r="Z77" s="194" t="n">
        <x:f>IF(AND(Y77=1,X77="",J77&lt;&gt;"Cancelado",NOT(OR(J77="Fechado",J77="Resolvido"))),1,0)</x:f>
        <x:v>0</x:v>
      </x:c>
      <x:c r="AA77" s="194" t="n">
        <x:f>IF(AND(Y77=1,X77="",OR(J77="Fechado",J77="Resolvido")),1,0)</x:f>
        <x:v>0</x:v>
      </x:c>
      <x:c r="AB77" s="194" t="n">
        <x:f>IF(Y77=0,0,IF(X77&lt;&gt;"",1,IF(Z77=0,0,IF(P77="ATRASADO",2,IF(AND(M77="ATRASADO",L77=""),3,IF(V77="ESCALAR",4,IF(V77="REVISAR BACKLOG",5,0)))))))</x:f>
        <x:v>0</x:v>
      </x:c>
      <x:c r="AC77" s="194" t="str">
        <x:f>IF(AB77=0,"",COUNTIFS($AB$5:$AB$204,"&gt;0",$AB$5:$AB$204,"&lt;"&amp;AB77)+COUNTIFS($AB$5:AB77,AB77))</x:f>
      </x:c>
      <x:c r="AD77" s="194" t="n">
        <x:f>IF(AND(A77&lt;&gt;"",X77=""),1,0)</x:f>
        <x:v>0</x:v>
      </x:c>
      <x:c r="AE77" s="194" t="n">
        <x:f>IF(AND(Y77=1,X77&lt;&gt;""),1,0)</x:f>
        <x:v>0</x:v>
      </x:c>
      <x:c r="AF77" s="194" t="n">
        <x:f>IF(L77="",1,0)</x:f>
        <x:v>1</x:v>
      </x:c>
    </x:row>
    <x:row r="78">
      <x:c r="A78" s="28"/>
      <x:c r="B78" s="41"/>
      <x:c r="C78" s="28"/>
      <x:c r="D78" s="28"/>
      <x:c r="E78" s="28"/>
      <x:c r="F78" s="28"/>
      <x:c r="G78" s="28"/>
      <x:c r="H78" s="28"/>
      <x:c r="I78" s="28"/>
      <x:c r="J78" s="28"/>
      <x:c r="K78" s="54" t="str">
        <x:f>IF(OR(A78="",X78&lt;&gt;""),"",B78+INDEX(Listas!$B$6:$B$9,MATCH(H78,Listas!$A$6:$A$9,0))/24)</x:f>
      </x:c>
      <x:c r="L78" s="41"/>
      <x:c r="M78" s="55" t="str">
        <x:f>IF(A78="","",IF(X78&lt;&gt;"","DADO PENDENTE",IF(J78="Cancelado","N.A.",IF(L78&lt;&gt;"",IF(L78&lt;=K78,"ATENDIDO","ATRASADO"),IF(OR(J78="Fechado",J78="Resolvido"),"SEM EVIDÊNCIA",IF(Listas!$B$18&gt;K78,"ATRASADO","PENDENTE"))))))</x:f>
      </x:c>
      <x:c r="N78" s="54" t="str">
        <x:f>IF(OR(A78="",X78&lt;&gt;""),"",B78+INDEX(Listas!$C$6:$C$9,MATCH(H78,Listas!$A$6:$A$9,0))/24)</x:f>
      </x:c>
      <x:c r="O78" s="41"/>
      <x:c r="P78" s="55" t="str">
        <x:f>IF(A78="","",IF(X78&lt;&gt;"","DADO PENDENTE",IF(J78="Cancelado","N.A.",IF(OR(J78="Fechado",J78="Resolvido"),IF(O78&lt;=N78,"ATENDIDO","ATRASADO"),IF(Listas!$B$18&gt;N78,"ATRASADO","PENDENTE")))))</x:f>
      </x:c>
      <x:c r="Q78" s="56" t="str">
        <x:f>IF(OR(A78="",X78&lt;&gt;"",J78="Cancelado"),"",24*IF(OR(J78="Fechado",J78="Resolvido"),O78-B78,Listas!$B$18-B78))</x:f>
      </x:c>
      <x:c r="R78" s="57" t="str">
        <x:f>IF(OR(A78="",X78&lt;&gt;"",J78="Cancelado"),"",INT(IF(OR(J78="Fechado",J78="Resolvido"),O78-B78,Listas!$B$18-B78)))</x:f>
      </x:c>
      <x:c r="S78" s="58"/>
      <x:c r="T78" s="58"/>
      <x:c r="U78" s="57" t="str">
        <x:f>IF(OR(A78="",X78&lt;&gt;"",J78="Cancelado"),"",S78*T78)</x:f>
      </x:c>
      <x:c r="V78" s="55" t="str">
        <x:f>IF(A78="","",IF(X78&lt;&gt;"","CORRIGIR DADOS",IF(J78="Cancelado","CANCELADO",IF(OR(J78="Fechado",J78="Resolvido"),"CONCLUÍDO",IF(OR(P78="ATRASADO",U78&gt;=Listas!$B$16),"ESCALAR",IF(AND(M78="ATRASADO",L78=""),"RESPONDER AGORA",IF(R78&gt;=Listas!$B$14,"REVISAR BACKLOG","ACOMPANHAR")))))))</x:f>
      </x:c>
      <x:c r="W78" s="28"/>
      <x:c r="X78" s="194" t="str">
        <x:f>IF(COUNTA(A78:J78,L78,O78,S78:T78,W78)=0,"",IF(OR(NOT(ISNUMBER(Listas!$B$14)),Listas!$B$14&lt;0,NOT(ISNUMBER(Listas!$B$16)),Listas!$B$16&lt;1,COUNT(Listas!$B$6:$C$9)&lt;&gt;8,MIN(Listas!$B$6:$C$9)&lt;=0),"Parâmetros inválidos",IF(A78="","ID ausente",IF(COUNTIFS($A$5:$A$204,A78)&lt;&gt;1,"ID duplicado",IF(OR(NOT(ISNUMBER(B78)),B78&lt;=0),"Abertura inválida",IF(OR(NOT(ISNUMBER(Listas!$B$18)),Listas!$B$18&lt;=0),"Data da análise inválida",IF(B78&gt;Listas!$B$18,"Abertura após análise",IF(COUNTIFS(Listas!$A$6:$A$9,H78)&lt;&gt;1,"Prioridade inválida",IF(COUNTIFS(Equipe!$A$5:$A$12,I78)&lt;&gt;1,"Responsável inválido",IF(COUNTIFS(Listas!$E$6:$E$11,J78)&lt;&gt;1,"Status inválido",IF(AND(L78&lt;&gt;"",OR(NOT(ISNUMBER(L78)),L78&lt;B78,L78&gt;Listas!$B$18)),"Resposta inválida",IF(AND(O78&lt;&gt;"",OR(NOT(ISNUMBER(O78)),O78&lt;B78,O78&gt;Listas!$B$18)),"Resolução inválida",IF(AND(OR(J78="Fechado",J78="Resolvido"),O78=""),"Conclusão sem resolução",IF(OR(NOT(ISNUMBER(S78)),S78&lt;1,S78&gt;5,IF(ISNUMBER(S78),S78&lt;&gt;INT(S78),FALSE),NOT(ISNUMBER(T78)),T78&lt;1,T78&gt;5,IF(ISNUMBER(T78),T78&lt;&gt;INT(T78),FALSE)),"Impacto ou urgência inválido",""))))))))))))))</x:f>
      </x:c>
      <x:c r="Y78" s="194" t="n">
        <x:f>IF(AND(COUNTA(A78:J78,L78,O78,S78:T78,W78)&gt;0,OR(Listas!$B$20="Todos",I78=Listas!$B$20)),1,0)</x:f>
        <x:v>0</x:v>
      </x:c>
      <x:c r="Z78" s="194" t="n">
        <x:f>IF(AND(Y78=1,X78="",J78&lt;&gt;"Cancelado",NOT(OR(J78="Fechado",J78="Resolvido"))),1,0)</x:f>
        <x:v>0</x:v>
      </x:c>
      <x:c r="AA78" s="194" t="n">
        <x:f>IF(AND(Y78=1,X78="",OR(J78="Fechado",J78="Resolvido")),1,0)</x:f>
        <x:v>0</x:v>
      </x:c>
      <x:c r="AB78" s="194" t="n">
        <x:f>IF(Y78=0,0,IF(X78&lt;&gt;"",1,IF(Z78=0,0,IF(P78="ATRASADO",2,IF(AND(M78="ATRASADO",L78=""),3,IF(V78="ESCALAR",4,IF(V78="REVISAR BACKLOG",5,0)))))))</x:f>
        <x:v>0</x:v>
      </x:c>
      <x:c r="AC78" s="194" t="str">
        <x:f>IF(AB78=0,"",COUNTIFS($AB$5:$AB$204,"&gt;0",$AB$5:$AB$204,"&lt;"&amp;AB78)+COUNTIFS($AB$5:AB78,AB78))</x:f>
      </x:c>
      <x:c r="AD78" s="194" t="n">
        <x:f>IF(AND(A78&lt;&gt;"",X78=""),1,0)</x:f>
        <x:v>0</x:v>
      </x:c>
      <x:c r="AE78" s="194" t="n">
        <x:f>IF(AND(Y78=1,X78&lt;&gt;""),1,0)</x:f>
        <x:v>0</x:v>
      </x:c>
      <x:c r="AF78" s="194" t="n">
        <x:f>IF(L78="",1,0)</x:f>
        <x:v>1</x:v>
      </x:c>
    </x:row>
    <x:row r="79">
      <x:c r="A79" s="28"/>
      <x:c r="B79" s="41"/>
      <x:c r="C79" s="28"/>
      <x:c r="D79" s="28"/>
      <x:c r="E79" s="28"/>
      <x:c r="F79" s="28"/>
      <x:c r="G79" s="28"/>
      <x:c r="H79" s="28"/>
      <x:c r="I79" s="28"/>
      <x:c r="J79" s="28"/>
      <x:c r="K79" s="54" t="str">
        <x:f>IF(OR(A79="",X79&lt;&gt;""),"",B79+INDEX(Listas!$B$6:$B$9,MATCH(H79,Listas!$A$6:$A$9,0))/24)</x:f>
      </x:c>
      <x:c r="L79" s="41"/>
      <x:c r="M79" s="55" t="str">
        <x:f>IF(A79="","",IF(X79&lt;&gt;"","DADO PENDENTE",IF(J79="Cancelado","N.A.",IF(L79&lt;&gt;"",IF(L79&lt;=K79,"ATENDIDO","ATRASADO"),IF(OR(J79="Fechado",J79="Resolvido"),"SEM EVIDÊNCIA",IF(Listas!$B$18&gt;K79,"ATRASADO","PENDENTE"))))))</x:f>
      </x:c>
      <x:c r="N79" s="54" t="str">
        <x:f>IF(OR(A79="",X79&lt;&gt;""),"",B79+INDEX(Listas!$C$6:$C$9,MATCH(H79,Listas!$A$6:$A$9,0))/24)</x:f>
      </x:c>
      <x:c r="O79" s="41"/>
      <x:c r="P79" s="55" t="str">
        <x:f>IF(A79="","",IF(X79&lt;&gt;"","DADO PENDENTE",IF(J79="Cancelado","N.A.",IF(OR(J79="Fechado",J79="Resolvido"),IF(O79&lt;=N79,"ATENDIDO","ATRASADO"),IF(Listas!$B$18&gt;N79,"ATRASADO","PENDENTE")))))</x:f>
      </x:c>
      <x:c r="Q79" s="56" t="str">
        <x:f>IF(OR(A79="",X79&lt;&gt;"",J79="Cancelado"),"",24*IF(OR(J79="Fechado",J79="Resolvido"),O79-B79,Listas!$B$18-B79))</x:f>
      </x:c>
      <x:c r="R79" s="57" t="str">
        <x:f>IF(OR(A79="",X79&lt;&gt;"",J79="Cancelado"),"",INT(IF(OR(J79="Fechado",J79="Resolvido"),O79-B79,Listas!$B$18-B79)))</x:f>
      </x:c>
      <x:c r="S79" s="58"/>
      <x:c r="T79" s="58"/>
      <x:c r="U79" s="57" t="str">
        <x:f>IF(OR(A79="",X79&lt;&gt;"",J79="Cancelado"),"",S79*T79)</x:f>
      </x:c>
      <x:c r="V79" s="55" t="str">
        <x:f>IF(A79="","",IF(X79&lt;&gt;"","CORRIGIR DADOS",IF(J79="Cancelado","CANCELADO",IF(OR(J79="Fechado",J79="Resolvido"),"CONCLUÍDO",IF(OR(P79="ATRASADO",U79&gt;=Listas!$B$16),"ESCALAR",IF(AND(M79="ATRASADO",L79=""),"RESPONDER AGORA",IF(R79&gt;=Listas!$B$14,"REVISAR BACKLOG","ACOMPANHAR")))))))</x:f>
      </x:c>
      <x:c r="W79" s="28"/>
      <x:c r="X79" s="194" t="str">
        <x:f>IF(COUNTA(A79:J79,L79,O79,S79:T79,W79)=0,"",IF(OR(NOT(ISNUMBER(Listas!$B$14)),Listas!$B$14&lt;0,NOT(ISNUMBER(Listas!$B$16)),Listas!$B$16&lt;1,COUNT(Listas!$B$6:$C$9)&lt;&gt;8,MIN(Listas!$B$6:$C$9)&lt;=0),"Parâmetros inválidos",IF(A79="","ID ausente",IF(COUNTIFS($A$5:$A$204,A79)&lt;&gt;1,"ID duplicado",IF(OR(NOT(ISNUMBER(B79)),B79&lt;=0),"Abertura inválida",IF(OR(NOT(ISNUMBER(Listas!$B$18)),Listas!$B$18&lt;=0),"Data da análise inválida",IF(B79&gt;Listas!$B$18,"Abertura após análise",IF(COUNTIFS(Listas!$A$6:$A$9,H79)&lt;&gt;1,"Prioridade inválida",IF(COUNTIFS(Equipe!$A$5:$A$12,I79)&lt;&gt;1,"Responsável inválido",IF(COUNTIFS(Listas!$E$6:$E$11,J79)&lt;&gt;1,"Status inválido",IF(AND(L79&lt;&gt;"",OR(NOT(ISNUMBER(L79)),L79&lt;B79,L79&gt;Listas!$B$18)),"Resposta inválida",IF(AND(O79&lt;&gt;"",OR(NOT(ISNUMBER(O79)),O79&lt;B79,O79&gt;Listas!$B$18)),"Resolução inválida",IF(AND(OR(J79="Fechado",J79="Resolvido"),O79=""),"Conclusão sem resolução",IF(OR(NOT(ISNUMBER(S79)),S79&lt;1,S79&gt;5,IF(ISNUMBER(S79),S79&lt;&gt;INT(S79),FALSE),NOT(ISNUMBER(T79)),T79&lt;1,T79&gt;5,IF(ISNUMBER(T79),T79&lt;&gt;INT(T79),FALSE)),"Impacto ou urgência inválido",""))))))))))))))</x:f>
      </x:c>
      <x:c r="Y79" s="194" t="n">
        <x:f>IF(AND(COUNTA(A79:J79,L79,O79,S79:T79,W79)&gt;0,OR(Listas!$B$20="Todos",I79=Listas!$B$20)),1,0)</x:f>
        <x:v>0</x:v>
      </x:c>
      <x:c r="Z79" s="194" t="n">
        <x:f>IF(AND(Y79=1,X79="",J79&lt;&gt;"Cancelado",NOT(OR(J79="Fechado",J79="Resolvido"))),1,0)</x:f>
        <x:v>0</x:v>
      </x:c>
      <x:c r="AA79" s="194" t="n">
        <x:f>IF(AND(Y79=1,X79="",OR(J79="Fechado",J79="Resolvido")),1,0)</x:f>
        <x:v>0</x:v>
      </x:c>
      <x:c r="AB79" s="194" t="n">
        <x:f>IF(Y79=0,0,IF(X79&lt;&gt;"",1,IF(Z79=0,0,IF(P79="ATRASADO",2,IF(AND(M79="ATRASADO",L79=""),3,IF(V79="ESCALAR",4,IF(V79="REVISAR BACKLOG",5,0)))))))</x:f>
        <x:v>0</x:v>
      </x:c>
      <x:c r="AC79" s="194" t="str">
        <x:f>IF(AB79=0,"",COUNTIFS($AB$5:$AB$204,"&gt;0",$AB$5:$AB$204,"&lt;"&amp;AB79)+COUNTIFS($AB$5:AB79,AB79))</x:f>
      </x:c>
      <x:c r="AD79" s="194" t="n">
        <x:f>IF(AND(A79&lt;&gt;"",X79=""),1,0)</x:f>
        <x:v>0</x:v>
      </x:c>
      <x:c r="AE79" s="194" t="n">
        <x:f>IF(AND(Y79=1,X79&lt;&gt;""),1,0)</x:f>
        <x:v>0</x:v>
      </x:c>
      <x:c r="AF79" s="194" t="n">
        <x:f>IF(L79="",1,0)</x:f>
        <x:v>1</x:v>
      </x:c>
    </x:row>
    <x:row r="80">
      <x:c r="A80" s="28"/>
      <x:c r="B80" s="41"/>
      <x:c r="C80" s="28"/>
      <x:c r="D80" s="28"/>
      <x:c r="E80" s="28"/>
      <x:c r="F80" s="28"/>
      <x:c r="G80" s="28"/>
      <x:c r="H80" s="28"/>
      <x:c r="I80" s="28"/>
      <x:c r="J80" s="28"/>
      <x:c r="K80" s="54" t="str">
        <x:f>IF(OR(A80="",X80&lt;&gt;""),"",B80+INDEX(Listas!$B$6:$B$9,MATCH(H80,Listas!$A$6:$A$9,0))/24)</x:f>
      </x:c>
      <x:c r="L80" s="41"/>
      <x:c r="M80" s="55" t="str">
        <x:f>IF(A80="","",IF(X80&lt;&gt;"","DADO PENDENTE",IF(J80="Cancelado","N.A.",IF(L80&lt;&gt;"",IF(L80&lt;=K80,"ATENDIDO","ATRASADO"),IF(OR(J80="Fechado",J80="Resolvido"),"SEM EVIDÊNCIA",IF(Listas!$B$18&gt;K80,"ATRASADO","PENDENTE"))))))</x:f>
      </x:c>
      <x:c r="N80" s="54" t="str">
        <x:f>IF(OR(A80="",X80&lt;&gt;""),"",B80+INDEX(Listas!$C$6:$C$9,MATCH(H80,Listas!$A$6:$A$9,0))/24)</x:f>
      </x:c>
      <x:c r="O80" s="41"/>
      <x:c r="P80" s="55" t="str">
        <x:f>IF(A80="","",IF(X80&lt;&gt;"","DADO PENDENTE",IF(J80="Cancelado","N.A.",IF(OR(J80="Fechado",J80="Resolvido"),IF(O80&lt;=N80,"ATENDIDO","ATRASADO"),IF(Listas!$B$18&gt;N80,"ATRASADO","PENDENTE")))))</x:f>
      </x:c>
      <x:c r="Q80" s="56" t="str">
        <x:f>IF(OR(A80="",X80&lt;&gt;"",J80="Cancelado"),"",24*IF(OR(J80="Fechado",J80="Resolvido"),O80-B80,Listas!$B$18-B80))</x:f>
      </x:c>
      <x:c r="R80" s="57" t="str">
        <x:f>IF(OR(A80="",X80&lt;&gt;"",J80="Cancelado"),"",INT(IF(OR(J80="Fechado",J80="Resolvido"),O80-B80,Listas!$B$18-B80)))</x:f>
      </x:c>
      <x:c r="S80" s="58"/>
      <x:c r="T80" s="58"/>
      <x:c r="U80" s="57" t="str">
        <x:f>IF(OR(A80="",X80&lt;&gt;"",J80="Cancelado"),"",S80*T80)</x:f>
      </x:c>
      <x:c r="V80" s="55" t="str">
        <x:f>IF(A80="","",IF(X80&lt;&gt;"","CORRIGIR DADOS",IF(J80="Cancelado","CANCELADO",IF(OR(J80="Fechado",J80="Resolvido"),"CONCLUÍDO",IF(OR(P80="ATRASADO",U80&gt;=Listas!$B$16),"ESCALAR",IF(AND(M80="ATRASADO",L80=""),"RESPONDER AGORA",IF(R80&gt;=Listas!$B$14,"REVISAR BACKLOG","ACOMPANHAR")))))))</x:f>
      </x:c>
      <x:c r="W80" s="28"/>
      <x:c r="X80" s="194" t="str">
        <x:f>IF(COUNTA(A80:J80,L80,O80,S80:T80,W80)=0,"",IF(OR(NOT(ISNUMBER(Listas!$B$14)),Listas!$B$14&lt;0,NOT(ISNUMBER(Listas!$B$16)),Listas!$B$16&lt;1,COUNT(Listas!$B$6:$C$9)&lt;&gt;8,MIN(Listas!$B$6:$C$9)&lt;=0),"Parâmetros inválidos",IF(A80="","ID ausente",IF(COUNTIFS($A$5:$A$204,A80)&lt;&gt;1,"ID duplicado",IF(OR(NOT(ISNUMBER(B80)),B80&lt;=0),"Abertura inválida",IF(OR(NOT(ISNUMBER(Listas!$B$18)),Listas!$B$18&lt;=0),"Data da análise inválida",IF(B80&gt;Listas!$B$18,"Abertura após análise",IF(COUNTIFS(Listas!$A$6:$A$9,H80)&lt;&gt;1,"Prioridade inválida",IF(COUNTIFS(Equipe!$A$5:$A$12,I80)&lt;&gt;1,"Responsável inválido",IF(COUNTIFS(Listas!$E$6:$E$11,J80)&lt;&gt;1,"Status inválido",IF(AND(L80&lt;&gt;"",OR(NOT(ISNUMBER(L80)),L80&lt;B80,L80&gt;Listas!$B$18)),"Resposta inválida",IF(AND(O80&lt;&gt;"",OR(NOT(ISNUMBER(O80)),O80&lt;B80,O80&gt;Listas!$B$18)),"Resolução inválida",IF(AND(OR(J80="Fechado",J80="Resolvido"),O80=""),"Conclusão sem resolução",IF(OR(NOT(ISNUMBER(S80)),S80&lt;1,S80&gt;5,IF(ISNUMBER(S80),S80&lt;&gt;INT(S80),FALSE),NOT(ISNUMBER(T80)),T80&lt;1,T80&gt;5,IF(ISNUMBER(T80),T80&lt;&gt;INT(T80),FALSE)),"Impacto ou urgência inválido",""))))))))))))))</x:f>
      </x:c>
      <x:c r="Y80" s="194" t="n">
        <x:f>IF(AND(COUNTA(A80:J80,L80,O80,S80:T80,W80)&gt;0,OR(Listas!$B$20="Todos",I80=Listas!$B$20)),1,0)</x:f>
        <x:v>0</x:v>
      </x:c>
      <x:c r="Z80" s="194" t="n">
        <x:f>IF(AND(Y80=1,X80="",J80&lt;&gt;"Cancelado",NOT(OR(J80="Fechado",J80="Resolvido"))),1,0)</x:f>
        <x:v>0</x:v>
      </x:c>
      <x:c r="AA80" s="194" t="n">
        <x:f>IF(AND(Y80=1,X80="",OR(J80="Fechado",J80="Resolvido")),1,0)</x:f>
        <x:v>0</x:v>
      </x:c>
      <x:c r="AB80" s="194" t="n">
        <x:f>IF(Y80=0,0,IF(X80&lt;&gt;"",1,IF(Z80=0,0,IF(P80="ATRASADO",2,IF(AND(M80="ATRASADO",L80=""),3,IF(V80="ESCALAR",4,IF(V80="REVISAR BACKLOG",5,0)))))))</x:f>
        <x:v>0</x:v>
      </x:c>
      <x:c r="AC80" s="194" t="str">
        <x:f>IF(AB80=0,"",COUNTIFS($AB$5:$AB$204,"&gt;0",$AB$5:$AB$204,"&lt;"&amp;AB80)+COUNTIFS($AB$5:AB80,AB80))</x:f>
      </x:c>
      <x:c r="AD80" s="194" t="n">
        <x:f>IF(AND(A80&lt;&gt;"",X80=""),1,0)</x:f>
        <x:v>0</x:v>
      </x:c>
      <x:c r="AE80" s="194" t="n">
        <x:f>IF(AND(Y80=1,X80&lt;&gt;""),1,0)</x:f>
        <x:v>0</x:v>
      </x:c>
      <x:c r="AF80" s="194" t="n">
        <x:f>IF(L80="",1,0)</x:f>
        <x:v>1</x:v>
      </x:c>
    </x:row>
    <x:row r="81">
      <x:c r="A81" s="28"/>
      <x:c r="B81" s="41"/>
      <x:c r="C81" s="28"/>
      <x:c r="D81" s="28"/>
      <x:c r="E81" s="28"/>
      <x:c r="F81" s="28"/>
      <x:c r="G81" s="28"/>
      <x:c r="H81" s="28"/>
      <x:c r="I81" s="28"/>
      <x:c r="J81" s="28"/>
      <x:c r="K81" s="54" t="str">
        <x:f>IF(OR(A81="",X81&lt;&gt;""),"",B81+INDEX(Listas!$B$6:$B$9,MATCH(H81,Listas!$A$6:$A$9,0))/24)</x:f>
      </x:c>
      <x:c r="L81" s="41"/>
      <x:c r="M81" s="55" t="str">
        <x:f>IF(A81="","",IF(X81&lt;&gt;"","DADO PENDENTE",IF(J81="Cancelado","N.A.",IF(L81&lt;&gt;"",IF(L81&lt;=K81,"ATENDIDO","ATRASADO"),IF(OR(J81="Fechado",J81="Resolvido"),"SEM EVIDÊNCIA",IF(Listas!$B$18&gt;K81,"ATRASADO","PENDENTE"))))))</x:f>
      </x:c>
      <x:c r="N81" s="54" t="str">
        <x:f>IF(OR(A81="",X81&lt;&gt;""),"",B81+INDEX(Listas!$C$6:$C$9,MATCH(H81,Listas!$A$6:$A$9,0))/24)</x:f>
      </x:c>
      <x:c r="O81" s="41"/>
      <x:c r="P81" s="55" t="str">
        <x:f>IF(A81="","",IF(X81&lt;&gt;"","DADO PENDENTE",IF(J81="Cancelado","N.A.",IF(OR(J81="Fechado",J81="Resolvido"),IF(O81&lt;=N81,"ATENDIDO","ATRASADO"),IF(Listas!$B$18&gt;N81,"ATRASADO","PENDENTE")))))</x:f>
      </x:c>
      <x:c r="Q81" s="56" t="str">
        <x:f>IF(OR(A81="",X81&lt;&gt;"",J81="Cancelado"),"",24*IF(OR(J81="Fechado",J81="Resolvido"),O81-B81,Listas!$B$18-B81))</x:f>
      </x:c>
      <x:c r="R81" s="57" t="str">
        <x:f>IF(OR(A81="",X81&lt;&gt;"",J81="Cancelado"),"",INT(IF(OR(J81="Fechado",J81="Resolvido"),O81-B81,Listas!$B$18-B81)))</x:f>
      </x:c>
      <x:c r="S81" s="58"/>
      <x:c r="T81" s="58"/>
      <x:c r="U81" s="57" t="str">
        <x:f>IF(OR(A81="",X81&lt;&gt;"",J81="Cancelado"),"",S81*T81)</x:f>
      </x:c>
      <x:c r="V81" s="55" t="str">
        <x:f>IF(A81="","",IF(X81&lt;&gt;"","CORRIGIR DADOS",IF(J81="Cancelado","CANCELADO",IF(OR(J81="Fechado",J81="Resolvido"),"CONCLUÍDO",IF(OR(P81="ATRASADO",U81&gt;=Listas!$B$16),"ESCALAR",IF(AND(M81="ATRASADO",L81=""),"RESPONDER AGORA",IF(R81&gt;=Listas!$B$14,"REVISAR BACKLOG","ACOMPANHAR")))))))</x:f>
      </x:c>
      <x:c r="W81" s="28"/>
      <x:c r="X81" s="194" t="str">
        <x:f>IF(COUNTA(A81:J81,L81,O81,S81:T81,W81)=0,"",IF(OR(NOT(ISNUMBER(Listas!$B$14)),Listas!$B$14&lt;0,NOT(ISNUMBER(Listas!$B$16)),Listas!$B$16&lt;1,COUNT(Listas!$B$6:$C$9)&lt;&gt;8,MIN(Listas!$B$6:$C$9)&lt;=0),"Parâmetros inválidos",IF(A81="","ID ausente",IF(COUNTIFS($A$5:$A$204,A81)&lt;&gt;1,"ID duplicado",IF(OR(NOT(ISNUMBER(B81)),B81&lt;=0),"Abertura inválida",IF(OR(NOT(ISNUMBER(Listas!$B$18)),Listas!$B$18&lt;=0),"Data da análise inválida",IF(B81&gt;Listas!$B$18,"Abertura após análise",IF(COUNTIFS(Listas!$A$6:$A$9,H81)&lt;&gt;1,"Prioridade inválida",IF(COUNTIFS(Equipe!$A$5:$A$12,I81)&lt;&gt;1,"Responsável inválido",IF(COUNTIFS(Listas!$E$6:$E$11,J81)&lt;&gt;1,"Status inválido",IF(AND(L81&lt;&gt;"",OR(NOT(ISNUMBER(L81)),L81&lt;B81,L81&gt;Listas!$B$18)),"Resposta inválida",IF(AND(O81&lt;&gt;"",OR(NOT(ISNUMBER(O81)),O81&lt;B81,O81&gt;Listas!$B$18)),"Resolução inválida",IF(AND(OR(J81="Fechado",J81="Resolvido"),O81=""),"Conclusão sem resolução",IF(OR(NOT(ISNUMBER(S81)),S81&lt;1,S81&gt;5,IF(ISNUMBER(S81),S81&lt;&gt;INT(S81),FALSE),NOT(ISNUMBER(T81)),T81&lt;1,T81&gt;5,IF(ISNUMBER(T81),T81&lt;&gt;INT(T81),FALSE)),"Impacto ou urgência inválido",""))))))))))))))</x:f>
      </x:c>
      <x:c r="Y81" s="194" t="n">
        <x:f>IF(AND(COUNTA(A81:J81,L81,O81,S81:T81,W81)&gt;0,OR(Listas!$B$20="Todos",I81=Listas!$B$20)),1,0)</x:f>
        <x:v>0</x:v>
      </x:c>
      <x:c r="Z81" s="194" t="n">
        <x:f>IF(AND(Y81=1,X81="",J81&lt;&gt;"Cancelado",NOT(OR(J81="Fechado",J81="Resolvido"))),1,0)</x:f>
        <x:v>0</x:v>
      </x:c>
      <x:c r="AA81" s="194" t="n">
        <x:f>IF(AND(Y81=1,X81="",OR(J81="Fechado",J81="Resolvido")),1,0)</x:f>
        <x:v>0</x:v>
      </x:c>
      <x:c r="AB81" s="194" t="n">
        <x:f>IF(Y81=0,0,IF(X81&lt;&gt;"",1,IF(Z81=0,0,IF(P81="ATRASADO",2,IF(AND(M81="ATRASADO",L81=""),3,IF(V81="ESCALAR",4,IF(V81="REVISAR BACKLOG",5,0)))))))</x:f>
        <x:v>0</x:v>
      </x:c>
      <x:c r="AC81" s="194" t="str">
        <x:f>IF(AB81=0,"",COUNTIFS($AB$5:$AB$204,"&gt;0",$AB$5:$AB$204,"&lt;"&amp;AB81)+COUNTIFS($AB$5:AB81,AB81))</x:f>
      </x:c>
      <x:c r="AD81" s="194" t="n">
        <x:f>IF(AND(A81&lt;&gt;"",X81=""),1,0)</x:f>
        <x:v>0</x:v>
      </x:c>
      <x:c r="AE81" s="194" t="n">
        <x:f>IF(AND(Y81=1,X81&lt;&gt;""),1,0)</x:f>
        <x:v>0</x:v>
      </x:c>
      <x:c r="AF81" s="194" t="n">
        <x:f>IF(L81="",1,0)</x:f>
        <x:v>1</x:v>
      </x:c>
    </x:row>
    <x:row r="82">
      <x:c r="A82" s="28"/>
      <x:c r="B82" s="41"/>
      <x:c r="C82" s="28"/>
      <x:c r="D82" s="28"/>
      <x:c r="E82" s="28"/>
      <x:c r="F82" s="28"/>
      <x:c r="G82" s="28"/>
      <x:c r="H82" s="28"/>
      <x:c r="I82" s="28"/>
      <x:c r="J82" s="28"/>
      <x:c r="K82" s="54" t="str">
        <x:f>IF(OR(A82="",X82&lt;&gt;""),"",B82+INDEX(Listas!$B$6:$B$9,MATCH(H82,Listas!$A$6:$A$9,0))/24)</x:f>
      </x:c>
      <x:c r="L82" s="41"/>
      <x:c r="M82" s="55" t="str">
        <x:f>IF(A82="","",IF(X82&lt;&gt;"","DADO PENDENTE",IF(J82="Cancelado","N.A.",IF(L82&lt;&gt;"",IF(L82&lt;=K82,"ATENDIDO","ATRASADO"),IF(OR(J82="Fechado",J82="Resolvido"),"SEM EVIDÊNCIA",IF(Listas!$B$18&gt;K82,"ATRASADO","PENDENTE"))))))</x:f>
      </x:c>
      <x:c r="N82" s="54" t="str">
        <x:f>IF(OR(A82="",X82&lt;&gt;""),"",B82+INDEX(Listas!$C$6:$C$9,MATCH(H82,Listas!$A$6:$A$9,0))/24)</x:f>
      </x:c>
      <x:c r="O82" s="41"/>
      <x:c r="P82" s="55" t="str">
        <x:f>IF(A82="","",IF(X82&lt;&gt;"","DADO PENDENTE",IF(J82="Cancelado","N.A.",IF(OR(J82="Fechado",J82="Resolvido"),IF(O82&lt;=N82,"ATENDIDO","ATRASADO"),IF(Listas!$B$18&gt;N82,"ATRASADO","PENDENTE")))))</x:f>
      </x:c>
      <x:c r="Q82" s="56" t="str">
        <x:f>IF(OR(A82="",X82&lt;&gt;"",J82="Cancelado"),"",24*IF(OR(J82="Fechado",J82="Resolvido"),O82-B82,Listas!$B$18-B82))</x:f>
      </x:c>
      <x:c r="R82" s="57" t="str">
        <x:f>IF(OR(A82="",X82&lt;&gt;"",J82="Cancelado"),"",INT(IF(OR(J82="Fechado",J82="Resolvido"),O82-B82,Listas!$B$18-B82)))</x:f>
      </x:c>
      <x:c r="S82" s="58"/>
      <x:c r="T82" s="58"/>
      <x:c r="U82" s="57" t="str">
        <x:f>IF(OR(A82="",X82&lt;&gt;"",J82="Cancelado"),"",S82*T82)</x:f>
      </x:c>
      <x:c r="V82" s="55" t="str">
        <x:f>IF(A82="","",IF(X82&lt;&gt;"","CORRIGIR DADOS",IF(J82="Cancelado","CANCELADO",IF(OR(J82="Fechado",J82="Resolvido"),"CONCLUÍDO",IF(OR(P82="ATRASADO",U82&gt;=Listas!$B$16),"ESCALAR",IF(AND(M82="ATRASADO",L82=""),"RESPONDER AGORA",IF(R82&gt;=Listas!$B$14,"REVISAR BACKLOG","ACOMPANHAR")))))))</x:f>
      </x:c>
      <x:c r="W82" s="28"/>
      <x:c r="X82" s="194" t="str">
        <x:f>IF(COUNTA(A82:J82,L82,O82,S82:T82,W82)=0,"",IF(OR(NOT(ISNUMBER(Listas!$B$14)),Listas!$B$14&lt;0,NOT(ISNUMBER(Listas!$B$16)),Listas!$B$16&lt;1,COUNT(Listas!$B$6:$C$9)&lt;&gt;8,MIN(Listas!$B$6:$C$9)&lt;=0),"Parâmetros inválidos",IF(A82="","ID ausente",IF(COUNTIFS($A$5:$A$204,A82)&lt;&gt;1,"ID duplicado",IF(OR(NOT(ISNUMBER(B82)),B82&lt;=0),"Abertura inválida",IF(OR(NOT(ISNUMBER(Listas!$B$18)),Listas!$B$18&lt;=0),"Data da análise inválida",IF(B82&gt;Listas!$B$18,"Abertura após análise",IF(COUNTIFS(Listas!$A$6:$A$9,H82)&lt;&gt;1,"Prioridade inválida",IF(COUNTIFS(Equipe!$A$5:$A$12,I82)&lt;&gt;1,"Responsável inválido",IF(COUNTIFS(Listas!$E$6:$E$11,J82)&lt;&gt;1,"Status inválido",IF(AND(L82&lt;&gt;"",OR(NOT(ISNUMBER(L82)),L82&lt;B82,L82&gt;Listas!$B$18)),"Resposta inválida",IF(AND(O82&lt;&gt;"",OR(NOT(ISNUMBER(O82)),O82&lt;B82,O82&gt;Listas!$B$18)),"Resolução inválida",IF(AND(OR(J82="Fechado",J82="Resolvido"),O82=""),"Conclusão sem resolução",IF(OR(NOT(ISNUMBER(S82)),S82&lt;1,S82&gt;5,IF(ISNUMBER(S82),S82&lt;&gt;INT(S82),FALSE),NOT(ISNUMBER(T82)),T82&lt;1,T82&gt;5,IF(ISNUMBER(T82),T82&lt;&gt;INT(T82),FALSE)),"Impacto ou urgência inválido",""))))))))))))))</x:f>
      </x:c>
      <x:c r="Y82" s="194" t="n">
        <x:f>IF(AND(COUNTA(A82:J82,L82,O82,S82:T82,W82)&gt;0,OR(Listas!$B$20="Todos",I82=Listas!$B$20)),1,0)</x:f>
        <x:v>0</x:v>
      </x:c>
      <x:c r="Z82" s="194" t="n">
        <x:f>IF(AND(Y82=1,X82="",J82&lt;&gt;"Cancelado",NOT(OR(J82="Fechado",J82="Resolvido"))),1,0)</x:f>
        <x:v>0</x:v>
      </x:c>
      <x:c r="AA82" s="194" t="n">
        <x:f>IF(AND(Y82=1,X82="",OR(J82="Fechado",J82="Resolvido")),1,0)</x:f>
        <x:v>0</x:v>
      </x:c>
      <x:c r="AB82" s="194" t="n">
        <x:f>IF(Y82=0,0,IF(X82&lt;&gt;"",1,IF(Z82=0,0,IF(P82="ATRASADO",2,IF(AND(M82="ATRASADO",L82=""),3,IF(V82="ESCALAR",4,IF(V82="REVISAR BACKLOG",5,0)))))))</x:f>
        <x:v>0</x:v>
      </x:c>
      <x:c r="AC82" s="194" t="str">
        <x:f>IF(AB82=0,"",COUNTIFS($AB$5:$AB$204,"&gt;0",$AB$5:$AB$204,"&lt;"&amp;AB82)+COUNTIFS($AB$5:AB82,AB82))</x:f>
      </x:c>
      <x:c r="AD82" s="194" t="n">
        <x:f>IF(AND(A82&lt;&gt;"",X82=""),1,0)</x:f>
        <x:v>0</x:v>
      </x:c>
      <x:c r="AE82" s="194" t="n">
        <x:f>IF(AND(Y82=1,X82&lt;&gt;""),1,0)</x:f>
        <x:v>0</x:v>
      </x:c>
      <x:c r="AF82" s="194" t="n">
        <x:f>IF(L82="",1,0)</x:f>
        <x:v>1</x:v>
      </x:c>
    </x:row>
    <x:row r="83">
      <x:c r="A83" s="28"/>
      <x:c r="B83" s="41"/>
      <x:c r="C83" s="28"/>
      <x:c r="D83" s="28"/>
      <x:c r="E83" s="28"/>
      <x:c r="F83" s="28"/>
      <x:c r="G83" s="28"/>
      <x:c r="H83" s="28"/>
      <x:c r="I83" s="28"/>
      <x:c r="J83" s="28"/>
      <x:c r="K83" s="54" t="str">
        <x:f>IF(OR(A83="",X83&lt;&gt;""),"",B83+INDEX(Listas!$B$6:$B$9,MATCH(H83,Listas!$A$6:$A$9,0))/24)</x:f>
      </x:c>
      <x:c r="L83" s="41"/>
      <x:c r="M83" s="55" t="str">
        <x:f>IF(A83="","",IF(X83&lt;&gt;"","DADO PENDENTE",IF(J83="Cancelado","N.A.",IF(L83&lt;&gt;"",IF(L83&lt;=K83,"ATENDIDO","ATRASADO"),IF(OR(J83="Fechado",J83="Resolvido"),"SEM EVIDÊNCIA",IF(Listas!$B$18&gt;K83,"ATRASADO","PENDENTE"))))))</x:f>
      </x:c>
      <x:c r="N83" s="54" t="str">
        <x:f>IF(OR(A83="",X83&lt;&gt;""),"",B83+INDEX(Listas!$C$6:$C$9,MATCH(H83,Listas!$A$6:$A$9,0))/24)</x:f>
      </x:c>
      <x:c r="O83" s="41"/>
      <x:c r="P83" s="55" t="str">
        <x:f>IF(A83="","",IF(X83&lt;&gt;"","DADO PENDENTE",IF(J83="Cancelado","N.A.",IF(OR(J83="Fechado",J83="Resolvido"),IF(O83&lt;=N83,"ATENDIDO","ATRASADO"),IF(Listas!$B$18&gt;N83,"ATRASADO","PENDENTE")))))</x:f>
      </x:c>
      <x:c r="Q83" s="56" t="str">
        <x:f>IF(OR(A83="",X83&lt;&gt;"",J83="Cancelado"),"",24*IF(OR(J83="Fechado",J83="Resolvido"),O83-B83,Listas!$B$18-B83))</x:f>
      </x:c>
      <x:c r="R83" s="57" t="str">
        <x:f>IF(OR(A83="",X83&lt;&gt;"",J83="Cancelado"),"",INT(IF(OR(J83="Fechado",J83="Resolvido"),O83-B83,Listas!$B$18-B83)))</x:f>
      </x:c>
      <x:c r="S83" s="58"/>
      <x:c r="T83" s="58"/>
      <x:c r="U83" s="57" t="str">
        <x:f>IF(OR(A83="",X83&lt;&gt;"",J83="Cancelado"),"",S83*T83)</x:f>
      </x:c>
      <x:c r="V83" s="55" t="str">
        <x:f>IF(A83="","",IF(X83&lt;&gt;"","CORRIGIR DADOS",IF(J83="Cancelado","CANCELADO",IF(OR(J83="Fechado",J83="Resolvido"),"CONCLUÍDO",IF(OR(P83="ATRASADO",U83&gt;=Listas!$B$16),"ESCALAR",IF(AND(M83="ATRASADO",L83=""),"RESPONDER AGORA",IF(R83&gt;=Listas!$B$14,"REVISAR BACKLOG","ACOMPANHAR")))))))</x:f>
      </x:c>
      <x:c r="W83" s="28"/>
      <x:c r="X83" s="194" t="str">
        <x:f>IF(COUNTA(A83:J83,L83,O83,S83:T83,W83)=0,"",IF(OR(NOT(ISNUMBER(Listas!$B$14)),Listas!$B$14&lt;0,NOT(ISNUMBER(Listas!$B$16)),Listas!$B$16&lt;1,COUNT(Listas!$B$6:$C$9)&lt;&gt;8,MIN(Listas!$B$6:$C$9)&lt;=0),"Parâmetros inválidos",IF(A83="","ID ausente",IF(COUNTIFS($A$5:$A$204,A83)&lt;&gt;1,"ID duplicado",IF(OR(NOT(ISNUMBER(B83)),B83&lt;=0),"Abertura inválida",IF(OR(NOT(ISNUMBER(Listas!$B$18)),Listas!$B$18&lt;=0),"Data da análise inválida",IF(B83&gt;Listas!$B$18,"Abertura após análise",IF(COUNTIFS(Listas!$A$6:$A$9,H83)&lt;&gt;1,"Prioridade inválida",IF(COUNTIFS(Equipe!$A$5:$A$12,I83)&lt;&gt;1,"Responsável inválido",IF(COUNTIFS(Listas!$E$6:$E$11,J83)&lt;&gt;1,"Status inválido",IF(AND(L83&lt;&gt;"",OR(NOT(ISNUMBER(L83)),L83&lt;B83,L83&gt;Listas!$B$18)),"Resposta inválida",IF(AND(O83&lt;&gt;"",OR(NOT(ISNUMBER(O83)),O83&lt;B83,O83&gt;Listas!$B$18)),"Resolução inválida",IF(AND(OR(J83="Fechado",J83="Resolvido"),O83=""),"Conclusão sem resolução",IF(OR(NOT(ISNUMBER(S83)),S83&lt;1,S83&gt;5,IF(ISNUMBER(S83),S83&lt;&gt;INT(S83),FALSE),NOT(ISNUMBER(T83)),T83&lt;1,T83&gt;5,IF(ISNUMBER(T83),T83&lt;&gt;INT(T83),FALSE)),"Impacto ou urgência inválido",""))))))))))))))</x:f>
      </x:c>
      <x:c r="Y83" s="194" t="n">
        <x:f>IF(AND(COUNTA(A83:J83,L83,O83,S83:T83,W83)&gt;0,OR(Listas!$B$20="Todos",I83=Listas!$B$20)),1,0)</x:f>
        <x:v>0</x:v>
      </x:c>
      <x:c r="Z83" s="194" t="n">
        <x:f>IF(AND(Y83=1,X83="",J83&lt;&gt;"Cancelado",NOT(OR(J83="Fechado",J83="Resolvido"))),1,0)</x:f>
        <x:v>0</x:v>
      </x:c>
      <x:c r="AA83" s="194" t="n">
        <x:f>IF(AND(Y83=1,X83="",OR(J83="Fechado",J83="Resolvido")),1,0)</x:f>
        <x:v>0</x:v>
      </x:c>
      <x:c r="AB83" s="194" t="n">
        <x:f>IF(Y83=0,0,IF(X83&lt;&gt;"",1,IF(Z83=0,0,IF(P83="ATRASADO",2,IF(AND(M83="ATRASADO",L83=""),3,IF(V83="ESCALAR",4,IF(V83="REVISAR BACKLOG",5,0)))))))</x:f>
        <x:v>0</x:v>
      </x:c>
      <x:c r="AC83" s="194" t="str">
        <x:f>IF(AB83=0,"",COUNTIFS($AB$5:$AB$204,"&gt;0",$AB$5:$AB$204,"&lt;"&amp;AB83)+COUNTIFS($AB$5:AB83,AB83))</x:f>
      </x:c>
      <x:c r="AD83" s="194" t="n">
        <x:f>IF(AND(A83&lt;&gt;"",X83=""),1,0)</x:f>
        <x:v>0</x:v>
      </x:c>
      <x:c r="AE83" s="194" t="n">
        <x:f>IF(AND(Y83=1,X83&lt;&gt;""),1,0)</x:f>
        <x:v>0</x:v>
      </x:c>
      <x:c r="AF83" s="194" t="n">
        <x:f>IF(L83="",1,0)</x:f>
        <x:v>1</x:v>
      </x:c>
    </x:row>
    <x:row r="84">
      <x:c r="A84" s="28"/>
      <x:c r="B84" s="41"/>
      <x:c r="C84" s="28"/>
      <x:c r="D84" s="28"/>
      <x:c r="E84" s="28"/>
      <x:c r="F84" s="28"/>
      <x:c r="G84" s="28"/>
      <x:c r="H84" s="28"/>
      <x:c r="I84" s="28"/>
      <x:c r="J84" s="28"/>
      <x:c r="K84" s="54" t="str">
        <x:f>IF(OR(A84="",X84&lt;&gt;""),"",B84+INDEX(Listas!$B$6:$B$9,MATCH(H84,Listas!$A$6:$A$9,0))/24)</x:f>
      </x:c>
      <x:c r="L84" s="41"/>
      <x:c r="M84" s="55" t="str">
        <x:f>IF(A84="","",IF(X84&lt;&gt;"","DADO PENDENTE",IF(J84="Cancelado","N.A.",IF(L84&lt;&gt;"",IF(L84&lt;=K84,"ATENDIDO","ATRASADO"),IF(OR(J84="Fechado",J84="Resolvido"),"SEM EVIDÊNCIA",IF(Listas!$B$18&gt;K84,"ATRASADO","PENDENTE"))))))</x:f>
      </x:c>
      <x:c r="N84" s="54" t="str">
        <x:f>IF(OR(A84="",X84&lt;&gt;""),"",B84+INDEX(Listas!$C$6:$C$9,MATCH(H84,Listas!$A$6:$A$9,0))/24)</x:f>
      </x:c>
      <x:c r="O84" s="41"/>
      <x:c r="P84" s="55" t="str">
        <x:f>IF(A84="","",IF(X84&lt;&gt;"","DADO PENDENTE",IF(J84="Cancelado","N.A.",IF(OR(J84="Fechado",J84="Resolvido"),IF(O84&lt;=N84,"ATENDIDO","ATRASADO"),IF(Listas!$B$18&gt;N84,"ATRASADO","PENDENTE")))))</x:f>
      </x:c>
      <x:c r="Q84" s="56" t="str">
        <x:f>IF(OR(A84="",X84&lt;&gt;"",J84="Cancelado"),"",24*IF(OR(J84="Fechado",J84="Resolvido"),O84-B84,Listas!$B$18-B84))</x:f>
      </x:c>
      <x:c r="R84" s="57" t="str">
        <x:f>IF(OR(A84="",X84&lt;&gt;"",J84="Cancelado"),"",INT(IF(OR(J84="Fechado",J84="Resolvido"),O84-B84,Listas!$B$18-B84)))</x:f>
      </x:c>
      <x:c r="S84" s="58"/>
      <x:c r="T84" s="58"/>
      <x:c r="U84" s="57" t="str">
        <x:f>IF(OR(A84="",X84&lt;&gt;"",J84="Cancelado"),"",S84*T84)</x:f>
      </x:c>
      <x:c r="V84" s="55" t="str">
        <x:f>IF(A84="","",IF(X84&lt;&gt;"","CORRIGIR DADOS",IF(J84="Cancelado","CANCELADO",IF(OR(J84="Fechado",J84="Resolvido"),"CONCLUÍDO",IF(OR(P84="ATRASADO",U84&gt;=Listas!$B$16),"ESCALAR",IF(AND(M84="ATRASADO",L84=""),"RESPONDER AGORA",IF(R84&gt;=Listas!$B$14,"REVISAR BACKLOG","ACOMPANHAR")))))))</x:f>
      </x:c>
      <x:c r="W84" s="28"/>
      <x:c r="X84" s="194" t="str">
        <x:f>IF(COUNTA(A84:J84,L84,O84,S84:T84,W84)=0,"",IF(OR(NOT(ISNUMBER(Listas!$B$14)),Listas!$B$14&lt;0,NOT(ISNUMBER(Listas!$B$16)),Listas!$B$16&lt;1,COUNT(Listas!$B$6:$C$9)&lt;&gt;8,MIN(Listas!$B$6:$C$9)&lt;=0),"Parâmetros inválidos",IF(A84="","ID ausente",IF(COUNTIFS($A$5:$A$204,A84)&lt;&gt;1,"ID duplicado",IF(OR(NOT(ISNUMBER(B84)),B84&lt;=0),"Abertura inválida",IF(OR(NOT(ISNUMBER(Listas!$B$18)),Listas!$B$18&lt;=0),"Data da análise inválida",IF(B84&gt;Listas!$B$18,"Abertura após análise",IF(COUNTIFS(Listas!$A$6:$A$9,H84)&lt;&gt;1,"Prioridade inválida",IF(COUNTIFS(Equipe!$A$5:$A$12,I84)&lt;&gt;1,"Responsável inválido",IF(COUNTIFS(Listas!$E$6:$E$11,J84)&lt;&gt;1,"Status inválido",IF(AND(L84&lt;&gt;"",OR(NOT(ISNUMBER(L84)),L84&lt;B84,L84&gt;Listas!$B$18)),"Resposta inválida",IF(AND(O84&lt;&gt;"",OR(NOT(ISNUMBER(O84)),O84&lt;B84,O84&gt;Listas!$B$18)),"Resolução inválida",IF(AND(OR(J84="Fechado",J84="Resolvido"),O84=""),"Conclusão sem resolução",IF(OR(NOT(ISNUMBER(S84)),S84&lt;1,S84&gt;5,IF(ISNUMBER(S84),S84&lt;&gt;INT(S84),FALSE),NOT(ISNUMBER(T84)),T84&lt;1,T84&gt;5,IF(ISNUMBER(T84),T84&lt;&gt;INT(T84),FALSE)),"Impacto ou urgência inválido",""))))))))))))))</x:f>
      </x:c>
      <x:c r="Y84" s="194" t="n">
        <x:f>IF(AND(COUNTA(A84:J84,L84,O84,S84:T84,W84)&gt;0,OR(Listas!$B$20="Todos",I84=Listas!$B$20)),1,0)</x:f>
        <x:v>0</x:v>
      </x:c>
      <x:c r="Z84" s="194" t="n">
        <x:f>IF(AND(Y84=1,X84="",J84&lt;&gt;"Cancelado",NOT(OR(J84="Fechado",J84="Resolvido"))),1,0)</x:f>
        <x:v>0</x:v>
      </x:c>
      <x:c r="AA84" s="194" t="n">
        <x:f>IF(AND(Y84=1,X84="",OR(J84="Fechado",J84="Resolvido")),1,0)</x:f>
        <x:v>0</x:v>
      </x:c>
      <x:c r="AB84" s="194" t="n">
        <x:f>IF(Y84=0,0,IF(X84&lt;&gt;"",1,IF(Z84=0,0,IF(P84="ATRASADO",2,IF(AND(M84="ATRASADO",L84=""),3,IF(V84="ESCALAR",4,IF(V84="REVISAR BACKLOG",5,0)))))))</x:f>
        <x:v>0</x:v>
      </x:c>
      <x:c r="AC84" s="194" t="str">
        <x:f>IF(AB84=0,"",COUNTIFS($AB$5:$AB$204,"&gt;0",$AB$5:$AB$204,"&lt;"&amp;AB84)+COUNTIFS($AB$5:AB84,AB84))</x:f>
      </x:c>
      <x:c r="AD84" s="194" t="n">
        <x:f>IF(AND(A84&lt;&gt;"",X84=""),1,0)</x:f>
        <x:v>0</x:v>
      </x:c>
      <x:c r="AE84" s="194" t="n">
        <x:f>IF(AND(Y84=1,X84&lt;&gt;""),1,0)</x:f>
        <x:v>0</x:v>
      </x:c>
      <x:c r="AF84" s="194" t="n">
        <x:f>IF(L84="",1,0)</x:f>
        <x:v>1</x:v>
      </x:c>
    </x:row>
    <x:row r="85">
      <x:c r="A85" s="28"/>
      <x:c r="B85" s="41"/>
      <x:c r="C85" s="28"/>
      <x:c r="D85" s="28"/>
      <x:c r="E85" s="28"/>
      <x:c r="F85" s="28"/>
      <x:c r="G85" s="28"/>
      <x:c r="H85" s="28"/>
      <x:c r="I85" s="28"/>
      <x:c r="J85" s="28"/>
      <x:c r="K85" s="54" t="str">
        <x:f>IF(OR(A85="",X85&lt;&gt;""),"",B85+INDEX(Listas!$B$6:$B$9,MATCH(H85,Listas!$A$6:$A$9,0))/24)</x:f>
      </x:c>
      <x:c r="L85" s="41"/>
      <x:c r="M85" s="55" t="str">
        <x:f>IF(A85="","",IF(X85&lt;&gt;"","DADO PENDENTE",IF(J85="Cancelado","N.A.",IF(L85&lt;&gt;"",IF(L85&lt;=K85,"ATENDIDO","ATRASADO"),IF(OR(J85="Fechado",J85="Resolvido"),"SEM EVIDÊNCIA",IF(Listas!$B$18&gt;K85,"ATRASADO","PENDENTE"))))))</x:f>
      </x:c>
      <x:c r="N85" s="54" t="str">
        <x:f>IF(OR(A85="",X85&lt;&gt;""),"",B85+INDEX(Listas!$C$6:$C$9,MATCH(H85,Listas!$A$6:$A$9,0))/24)</x:f>
      </x:c>
      <x:c r="O85" s="41"/>
      <x:c r="P85" s="55" t="str">
        <x:f>IF(A85="","",IF(X85&lt;&gt;"","DADO PENDENTE",IF(J85="Cancelado","N.A.",IF(OR(J85="Fechado",J85="Resolvido"),IF(O85&lt;=N85,"ATENDIDO","ATRASADO"),IF(Listas!$B$18&gt;N85,"ATRASADO","PENDENTE")))))</x:f>
      </x:c>
      <x:c r="Q85" s="56" t="str">
        <x:f>IF(OR(A85="",X85&lt;&gt;"",J85="Cancelado"),"",24*IF(OR(J85="Fechado",J85="Resolvido"),O85-B85,Listas!$B$18-B85))</x:f>
      </x:c>
      <x:c r="R85" s="57" t="str">
        <x:f>IF(OR(A85="",X85&lt;&gt;"",J85="Cancelado"),"",INT(IF(OR(J85="Fechado",J85="Resolvido"),O85-B85,Listas!$B$18-B85)))</x:f>
      </x:c>
      <x:c r="S85" s="58"/>
      <x:c r="T85" s="58"/>
      <x:c r="U85" s="57" t="str">
        <x:f>IF(OR(A85="",X85&lt;&gt;"",J85="Cancelado"),"",S85*T85)</x:f>
      </x:c>
      <x:c r="V85" s="55" t="str">
        <x:f>IF(A85="","",IF(X85&lt;&gt;"","CORRIGIR DADOS",IF(J85="Cancelado","CANCELADO",IF(OR(J85="Fechado",J85="Resolvido"),"CONCLUÍDO",IF(OR(P85="ATRASADO",U85&gt;=Listas!$B$16),"ESCALAR",IF(AND(M85="ATRASADO",L85=""),"RESPONDER AGORA",IF(R85&gt;=Listas!$B$14,"REVISAR BACKLOG","ACOMPANHAR")))))))</x:f>
      </x:c>
      <x:c r="W85" s="28"/>
      <x:c r="X85" s="194" t="str">
        <x:f>IF(COUNTA(A85:J85,L85,O85,S85:T85,W85)=0,"",IF(OR(NOT(ISNUMBER(Listas!$B$14)),Listas!$B$14&lt;0,NOT(ISNUMBER(Listas!$B$16)),Listas!$B$16&lt;1,COUNT(Listas!$B$6:$C$9)&lt;&gt;8,MIN(Listas!$B$6:$C$9)&lt;=0),"Parâmetros inválidos",IF(A85="","ID ausente",IF(COUNTIFS($A$5:$A$204,A85)&lt;&gt;1,"ID duplicado",IF(OR(NOT(ISNUMBER(B85)),B85&lt;=0),"Abertura inválida",IF(OR(NOT(ISNUMBER(Listas!$B$18)),Listas!$B$18&lt;=0),"Data da análise inválida",IF(B85&gt;Listas!$B$18,"Abertura após análise",IF(COUNTIFS(Listas!$A$6:$A$9,H85)&lt;&gt;1,"Prioridade inválida",IF(COUNTIFS(Equipe!$A$5:$A$12,I85)&lt;&gt;1,"Responsável inválido",IF(COUNTIFS(Listas!$E$6:$E$11,J85)&lt;&gt;1,"Status inválido",IF(AND(L85&lt;&gt;"",OR(NOT(ISNUMBER(L85)),L85&lt;B85,L85&gt;Listas!$B$18)),"Resposta inválida",IF(AND(O85&lt;&gt;"",OR(NOT(ISNUMBER(O85)),O85&lt;B85,O85&gt;Listas!$B$18)),"Resolução inválida",IF(AND(OR(J85="Fechado",J85="Resolvido"),O85=""),"Conclusão sem resolução",IF(OR(NOT(ISNUMBER(S85)),S85&lt;1,S85&gt;5,IF(ISNUMBER(S85),S85&lt;&gt;INT(S85),FALSE),NOT(ISNUMBER(T85)),T85&lt;1,T85&gt;5,IF(ISNUMBER(T85),T85&lt;&gt;INT(T85),FALSE)),"Impacto ou urgência inválido",""))))))))))))))</x:f>
      </x:c>
      <x:c r="Y85" s="194" t="n">
        <x:f>IF(AND(COUNTA(A85:J85,L85,O85,S85:T85,W85)&gt;0,OR(Listas!$B$20="Todos",I85=Listas!$B$20)),1,0)</x:f>
        <x:v>0</x:v>
      </x:c>
      <x:c r="Z85" s="194" t="n">
        <x:f>IF(AND(Y85=1,X85="",J85&lt;&gt;"Cancelado",NOT(OR(J85="Fechado",J85="Resolvido"))),1,0)</x:f>
        <x:v>0</x:v>
      </x:c>
      <x:c r="AA85" s="194" t="n">
        <x:f>IF(AND(Y85=1,X85="",OR(J85="Fechado",J85="Resolvido")),1,0)</x:f>
        <x:v>0</x:v>
      </x:c>
      <x:c r="AB85" s="194" t="n">
        <x:f>IF(Y85=0,0,IF(X85&lt;&gt;"",1,IF(Z85=0,0,IF(P85="ATRASADO",2,IF(AND(M85="ATRASADO",L85=""),3,IF(V85="ESCALAR",4,IF(V85="REVISAR BACKLOG",5,0)))))))</x:f>
        <x:v>0</x:v>
      </x:c>
      <x:c r="AC85" s="194" t="str">
        <x:f>IF(AB85=0,"",COUNTIFS($AB$5:$AB$204,"&gt;0",$AB$5:$AB$204,"&lt;"&amp;AB85)+COUNTIFS($AB$5:AB85,AB85))</x:f>
      </x:c>
      <x:c r="AD85" s="194" t="n">
        <x:f>IF(AND(A85&lt;&gt;"",X85=""),1,0)</x:f>
        <x:v>0</x:v>
      </x:c>
      <x:c r="AE85" s="194" t="n">
        <x:f>IF(AND(Y85=1,X85&lt;&gt;""),1,0)</x:f>
        <x:v>0</x:v>
      </x:c>
      <x:c r="AF85" s="194" t="n">
        <x:f>IF(L85="",1,0)</x:f>
        <x:v>1</x:v>
      </x:c>
    </x:row>
    <x:row r="86">
      <x:c r="A86" s="28"/>
      <x:c r="B86" s="41"/>
      <x:c r="C86" s="28"/>
      <x:c r="D86" s="28"/>
      <x:c r="E86" s="28"/>
      <x:c r="F86" s="28"/>
      <x:c r="G86" s="28"/>
      <x:c r="H86" s="28"/>
      <x:c r="I86" s="28"/>
      <x:c r="J86" s="28"/>
      <x:c r="K86" s="54" t="str">
        <x:f>IF(OR(A86="",X86&lt;&gt;""),"",B86+INDEX(Listas!$B$6:$B$9,MATCH(H86,Listas!$A$6:$A$9,0))/24)</x:f>
      </x:c>
      <x:c r="L86" s="41"/>
      <x:c r="M86" s="55" t="str">
        <x:f>IF(A86="","",IF(X86&lt;&gt;"","DADO PENDENTE",IF(J86="Cancelado","N.A.",IF(L86&lt;&gt;"",IF(L86&lt;=K86,"ATENDIDO","ATRASADO"),IF(OR(J86="Fechado",J86="Resolvido"),"SEM EVIDÊNCIA",IF(Listas!$B$18&gt;K86,"ATRASADO","PENDENTE"))))))</x:f>
      </x:c>
      <x:c r="N86" s="54" t="str">
        <x:f>IF(OR(A86="",X86&lt;&gt;""),"",B86+INDEX(Listas!$C$6:$C$9,MATCH(H86,Listas!$A$6:$A$9,0))/24)</x:f>
      </x:c>
      <x:c r="O86" s="41"/>
      <x:c r="P86" s="55" t="str">
        <x:f>IF(A86="","",IF(X86&lt;&gt;"","DADO PENDENTE",IF(J86="Cancelado","N.A.",IF(OR(J86="Fechado",J86="Resolvido"),IF(O86&lt;=N86,"ATENDIDO","ATRASADO"),IF(Listas!$B$18&gt;N86,"ATRASADO","PENDENTE")))))</x:f>
      </x:c>
      <x:c r="Q86" s="56" t="str">
        <x:f>IF(OR(A86="",X86&lt;&gt;"",J86="Cancelado"),"",24*IF(OR(J86="Fechado",J86="Resolvido"),O86-B86,Listas!$B$18-B86))</x:f>
      </x:c>
      <x:c r="R86" s="57" t="str">
        <x:f>IF(OR(A86="",X86&lt;&gt;"",J86="Cancelado"),"",INT(IF(OR(J86="Fechado",J86="Resolvido"),O86-B86,Listas!$B$18-B86)))</x:f>
      </x:c>
      <x:c r="S86" s="58"/>
      <x:c r="T86" s="58"/>
      <x:c r="U86" s="57" t="str">
        <x:f>IF(OR(A86="",X86&lt;&gt;"",J86="Cancelado"),"",S86*T86)</x:f>
      </x:c>
      <x:c r="V86" s="55" t="str">
        <x:f>IF(A86="","",IF(X86&lt;&gt;"","CORRIGIR DADOS",IF(J86="Cancelado","CANCELADO",IF(OR(J86="Fechado",J86="Resolvido"),"CONCLUÍDO",IF(OR(P86="ATRASADO",U86&gt;=Listas!$B$16),"ESCALAR",IF(AND(M86="ATRASADO",L86=""),"RESPONDER AGORA",IF(R86&gt;=Listas!$B$14,"REVISAR BACKLOG","ACOMPANHAR")))))))</x:f>
      </x:c>
      <x:c r="W86" s="28"/>
      <x:c r="X86" s="194" t="str">
        <x:f>IF(COUNTA(A86:J86,L86,O86,S86:T86,W86)=0,"",IF(OR(NOT(ISNUMBER(Listas!$B$14)),Listas!$B$14&lt;0,NOT(ISNUMBER(Listas!$B$16)),Listas!$B$16&lt;1,COUNT(Listas!$B$6:$C$9)&lt;&gt;8,MIN(Listas!$B$6:$C$9)&lt;=0),"Parâmetros inválidos",IF(A86="","ID ausente",IF(COUNTIFS($A$5:$A$204,A86)&lt;&gt;1,"ID duplicado",IF(OR(NOT(ISNUMBER(B86)),B86&lt;=0),"Abertura inválida",IF(OR(NOT(ISNUMBER(Listas!$B$18)),Listas!$B$18&lt;=0),"Data da análise inválida",IF(B86&gt;Listas!$B$18,"Abertura após análise",IF(COUNTIFS(Listas!$A$6:$A$9,H86)&lt;&gt;1,"Prioridade inválida",IF(COUNTIFS(Equipe!$A$5:$A$12,I86)&lt;&gt;1,"Responsável inválido",IF(COUNTIFS(Listas!$E$6:$E$11,J86)&lt;&gt;1,"Status inválido",IF(AND(L86&lt;&gt;"",OR(NOT(ISNUMBER(L86)),L86&lt;B86,L86&gt;Listas!$B$18)),"Resposta inválida",IF(AND(O86&lt;&gt;"",OR(NOT(ISNUMBER(O86)),O86&lt;B86,O86&gt;Listas!$B$18)),"Resolução inválida",IF(AND(OR(J86="Fechado",J86="Resolvido"),O86=""),"Conclusão sem resolução",IF(OR(NOT(ISNUMBER(S86)),S86&lt;1,S86&gt;5,IF(ISNUMBER(S86),S86&lt;&gt;INT(S86),FALSE),NOT(ISNUMBER(T86)),T86&lt;1,T86&gt;5,IF(ISNUMBER(T86),T86&lt;&gt;INT(T86),FALSE)),"Impacto ou urgência inválido",""))))))))))))))</x:f>
      </x:c>
      <x:c r="Y86" s="194" t="n">
        <x:f>IF(AND(COUNTA(A86:J86,L86,O86,S86:T86,W86)&gt;0,OR(Listas!$B$20="Todos",I86=Listas!$B$20)),1,0)</x:f>
        <x:v>0</x:v>
      </x:c>
      <x:c r="Z86" s="194" t="n">
        <x:f>IF(AND(Y86=1,X86="",J86&lt;&gt;"Cancelado",NOT(OR(J86="Fechado",J86="Resolvido"))),1,0)</x:f>
        <x:v>0</x:v>
      </x:c>
      <x:c r="AA86" s="194" t="n">
        <x:f>IF(AND(Y86=1,X86="",OR(J86="Fechado",J86="Resolvido")),1,0)</x:f>
        <x:v>0</x:v>
      </x:c>
      <x:c r="AB86" s="194" t="n">
        <x:f>IF(Y86=0,0,IF(X86&lt;&gt;"",1,IF(Z86=0,0,IF(P86="ATRASADO",2,IF(AND(M86="ATRASADO",L86=""),3,IF(V86="ESCALAR",4,IF(V86="REVISAR BACKLOG",5,0)))))))</x:f>
        <x:v>0</x:v>
      </x:c>
      <x:c r="AC86" s="194" t="str">
        <x:f>IF(AB86=0,"",COUNTIFS($AB$5:$AB$204,"&gt;0",$AB$5:$AB$204,"&lt;"&amp;AB86)+COUNTIFS($AB$5:AB86,AB86))</x:f>
      </x:c>
      <x:c r="AD86" s="194" t="n">
        <x:f>IF(AND(A86&lt;&gt;"",X86=""),1,0)</x:f>
        <x:v>0</x:v>
      </x:c>
      <x:c r="AE86" s="194" t="n">
        <x:f>IF(AND(Y86=1,X86&lt;&gt;""),1,0)</x:f>
        <x:v>0</x:v>
      </x:c>
      <x:c r="AF86" s="194" t="n">
        <x:f>IF(L86="",1,0)</x:f>
        <x:v>1</x:v>
      </x:c>
    </x:row>
    <x:row r="87">
      <x:c r="A87" s="28"/>
      <x:c r="B87" s="41"/>
      <x:c r="C87" s="28"/>
      <x:c r="D87" s="28"/>
      <x:c r="E87" s="28"/>
      <x:c r="F87" s="28"/>
      <x:c r="G87" s="28"/>
      <x:c r="H87" s="28"/>
      <x:c r="I87" s="28"/>
      <x:c r="J87" s="28"/>
      <x:c r="K87" s="54" t="str">
        <x:f>IF(OR(A87="",X87&lt;&gt;""),"",B87+INDEX(Listas!$B$6:$B$9,MATCH(H87,Listas!$A$6:$A$9,0))/24)</x:f>
      </x:c>
      <x:c r="L87" s="41"/>
      <x:c r="M87" s="55" t="str">
        <x:f>IF(A87="","",IF(X87&lt;&gt;"","DADO PENDENTE",IF(J87="Cancelado","N.A.",IF(L87&lt;&gt;"",IF(L87&lt;=K87,"ATENDIDO","ATRASADO"),IF(OR(J87="Fechado",J87="Resolvido"),"SEM EVIDÊNCIA",IF(Listas!$B$18&gt;K87,"ATRASADO","PENDENTE"))))))</x:f>
      </x:c>
      <x:c r="N87" s="54" t="str">
        <x:f>IF(OR(A87="",X87&lt;&gt;""),"",B87+INDEX(Listas!$C$6:$C$9,MATCH(H87,Listas!$A$6:$A$9,0))/24)</x:f>
      </x:c>
      <x:c r="O87" s="41"/>
      <x:c r="P87" s="55" t="str">
        <x:f>IF(A87="","",IF(X87&lt;&gt;"","DADO PENDENTE",IF(J87="Cancelado","N.A.",IF(OR(J87="Fechado",J87="Resolvido"),IF(O87&lt;=N87,"ATENDIDO","ATRASADO"),IF(Listas!$B$18&gt;N87,"ATRASADO","PENDENTE")))))</x:f>
      </x:c>
      <x:c r="Q87" s="56" t="str">
        <x:f>IF(OR(A87="",X87&lt;&gt;"",J87="Cancelado"),"",24*IF(OR(J87="Fechado",J87="Resolvido"),O87-B87,Listas!$B$18-B87))</x:f>
      </x:c>
      <x:c r="R87" s="57" t="str">
        <x:f>IF(OR(A87="",X87&lt;&gt;"",J87="Cancelado"),"",INT(IF(OR(J87="Fechado",J87="Resolvido"),O87-B87,Listas!$B$18-B87)))</x:f>
      </x:c>
      <x:c r="S87" s="58"/>
      <x:c r="T87" s="58"/>
      <x:c r="U87" s="57" t="str">
        <x:f>IF(OR(A87="",X87&lt;&gt;"",J87="Cancelado"),"",S87*T87)</x:f>
      </x:c>
      <x:c r="V87" s="55" t="str">
        <x:f>IF(A87="","",IF(X87&lt;&gt;"","CORRIGIR DADOS",IF(J87="Cancelado","CANCELADO",IF(OR(J87="Fechado",J87="Resolvido"),"CONCLUÍDO",IF(OR(P87="ATRASADO",U87&gt;=Listas!$B$16),"ESCALAR",IF(AND(M87="ATRASADO",L87=""),"RESPONDER AGORA",IF(R87&gt;=Listas!$B$14,"REVISAR BACKLOG","ACOMPANHAR")))))))</x:f>
      </x:c>
      <x:c r="W87" s="28"/>
      <x:c r="X87" s="194" t="str">
        <x:f>IF(COUNTA(A87:J87,L87,O87,S87:T87,W87)=0,"",IF(OR(NOT(ISNUMBER(Listas!$B$14)),Listas!$B$14&lt;0,NOT(ISNUMBER(Listas!$B$16)),Listas!$B$16&lt;1,COUNT(Listas!$B$6:$C$9)&lt;&gt;8,MIN(Listas!$B$6:$C$9)&lt;=0),"Parâmetros inválidos",IF(A87="","ID ausente",IF(COUNTIFS($A$5:$A$204,A87)&lt;&gt;1,"ID duplicado",IF(OR(NOT(ISNUMBER(B87)),B87&lt;=0),"Abertura inválida",IF(OR(NOT(ISNUMBER(Listas!$B$18)),Listas!$B$18&lt;=0),"Data da análise inválida",IF(B87&gt;Listas!$B$18,"Abertura após análise",IF(COUNTIFS(Listas!$A$6:$A$9,H87)&lt;&gt;1,"Prioridade inválida",IF(COUNTIFS(Equipe!$A$5:$A$12,I87)&lt;&gt;1,"Responsável inválido",IF(COUNTIFS(Listas!$E$6:$E$11,J87)&lt;&gt;1,"Status inválido",IF(AND(L87&lt;&gt;"",OR(NOT(ISNUMBER(L87)),L87&lt;B87,L87&gt;Listas!$B$18)),"Resposta inválida",IF(AND(O87&lt;&gt;"",OR(NOT(ISNUMBER(O87)),O87&lt;B87,O87&gt;Listas!$B$18)),"Resolução inválida",IF(AND(OR(J87="Fechado",J87="Resolvido"),O87=""),"Conclusão sem resolução",IF(OR(NOT(ISNUMBER(S87)),S87&lt;1,S87&gt;5,IF(ISNUMBER(S87),S87&lt;&gt;INT(S87),FALSE),NOT(ISNUMBER(T87)),T87&lt;1,T87&gt;5,IF(ISNUMBER(T87),T87&lt;&gt;INT(T87),FALSE)),"Impacto ou urgência inválido",""))))))))))))))</x:f>
      </x:c>
      <x:c r="Y87" s="194" t="n">
        <x:f>IF(AND(COUNTA(A87:J87,L87,O87,S87:T87,W87)&gt;0,OR(Listas!$B$20="Todos",I87=Listas!$B$20)),1,0)</x:f>
        <x:v>0</x:v>
      </x:c>
      <x:c r="Z87" s="194" t="n">
        <x:f>IF(AND(Y87=1,X87="",J87&lt;&gt;"Cancelado",NOT(OR(J87="Fechado",J87="Resolvido"))),1,0)</x:f>
        <x:v>0</x:v>
      </x:c>
      <x:c r="AA87" s="194" t="n">
        <x:f>IF(AND(Y87=1,X87="",OR(J87="Fechado",J87="Resolvido")),1,0)</x:f>
        <x:v>0</x:v>
      </x:c>
      <x:c r="AB87" s="194" t="n">
        <x:f>IF(Y87=0,0,IF(X87&lt;&gt;"",1,IF(Z87=0,0,IF(P87="ATRASADO",2,IF(AND(M87="ATRASADO",L87=""),3,IF(V87="ESCALAR",4,IF(V87="REVISAR BACKLOG",5,0)))))))</x:f>
        <x:v>0</x:v>
      </x:c>
      <x:c r="AC87" s="194" t="str">
        <x:f>IF(AB87=0,"",COUNTIFS($AB$5:$AB$204,"&gt;0",$AB$5:$AB$204,"&lt;"&amp;AB87)+COUNTIFS($AB$5:AB87,AB87))</x:f>
      </x:c>
      <x:c r="AD87" s="194" t="n">
        <x:f>IF(AND(A87&lt;&gt;"",X87=""),1,0)</x:f>
        <x:v>0</x:v>
      </x:c>
      <x:c r="AE87" s="194" t="n">
        <x:f>IF(AND(Y87=1,X87&lt;&gt;""),1,0)</x:f>
        <x:v>0</x:v>
      </x:c>
      <x:c r="AF87" s="194" t="n">
        <x:f>IF(L87="",1,0)</x:f>
        <x:v>1</x:v>
      </x:c>
    </x:row>
    <x:row r="88">
      <x:c r="A88" s="28"/>
      <x:c r="B88" s="41"/>
      <x:c r="C88" s="28"/>
      <x:c r="D88" s="28"/>
      <x:c r="E88" s="28"/>
      <x:c r="F88" s="28"/>
      <x:c r="G88" s="28"/>
      <x:c r="H88" s="28"/>
      <x:c r="I88" s="28"/>
      <x:c r="J88" s="28"/>
      <x:c r="K88" s="54" t="str">
        <x:f>IF(OR(A88="",X88&lt;&gt;""),"",B88+INDEX(Listas!$B$6:$B$9,MATCH(H88,Listas!$A$6:$A$9,0))/24)</x:f>
      </x:c>
      <x:c r="L88" s="41"/>
      <x:c r="M88" s="55" t="str">
        <x:f>IF(A88="","",IF(X88&lt;&gt;"","DADO PENDENTE",IF(J88="Cancelado","N.A.",IF(L88&lt;&gt;"",IF(L88&lt;=K88,"ATENDIDO","ATRASADO"),IF(OR(J88="Fechado",J88="Resolvido"),"SEM EVIDÊNCIA",IF(Listas!$B$18&gt;K88,"ATRASADO","PENDENTE"))))))</x:f>
      </x:c>
      <x:c r="N88" s="54" t="str">
        <x:f>IF(OR(A88="",X88&lt;&gt;""),"",B88+INDEX(Listas!$C$6:$C$9,MATCH(H88,Listas!$A$6:$A$9,0))/24)</x:f>
      </x:c>
      <x:c r="O88" s="41"/>
      <x:c r="P88" s="55" t="str">
        <x:f>IF(A88="","",IF(X88&lt;&gt;"","DADO PENDENTE",IF(J88="Cancelado","N.A.",IF(OR(J88="Fechado",J88="Resolvido"),IF(O88&lt;=N88,"ATENDIDO","ATRASADO"),IF(Listas!$B$18&gt;N88,"ATRASADO","PENDENTE")))))</x:f>
      </x:c>
      <x:c r="Q88" s="56" t="str">
        <x:f>IF(OR(A88="",X88&lt;&gt;"",J88="Cancelado"),"",24*IF(OR(J88="Fechado",J88="Resolvido"),O88-B88,Listas!$B$18-B88))</x:f>
      </x:c>
      <x:c r="R88" s="57" t="str">
        <x:f>IF(OR(A88="",X88&lt;&gt;"",J88="Cancelado"),"",INT(IF(OR(J88="Fechado",J88="Resolvido"),O88-B88,Listas!$B$18-B88)))</x:f>
      </x:c>
      <x:c r="S88" s="58"/>
      <x:c r="T88" s="58"/>
      <x:c r="U88" s="57" t="str">
        <x:f>IF(OR(A88="",X88&lt;&gt;"",J88="Cancelado"),"",S88*T88)</x:f>
      </x:c>
      <x:c r="V88" s="55" t="str">
        <x:f>IF(A88="","",IF(X88&lt;&gt;"","CORRIGIR DADOS",IF(J88="Cancelado","CANCELADO",IF(OR(J88="Fechado",J88="Resolvido"),"CONCLUÍDO",IF(OR(P88="ATRASADO",U88&gt;=Listas!$B$16),"ESCALAR",IF(AND(M88="ATRASADO",L88=""),"RESPONDER AGORA",IF(R88&gt;=Listas!$B$14,"REVISAR BACKLOG","ACOMPANHAR")))))))</x:f>
      </x:c>
      <x:c r="W88" s="28"/>
      <x:c r="X88" s="194" t="str">
        <x:f>IF(COUNTA(A88:J88,L88,O88,S88:T88,W88)=0,"",IF(OR(NOT(ISNUMBER(Listas!$B$14)),Listas!$B$14&lt;0,NOT(ISNUMBER(Listas!$B$16)),Listas!$B$16&lt;1,COUNT(Listas!$B$6:$C$9)&lt;&gt;8,MIN(Listas!$B$6:$C$9)&lt;=0),"Parâmetros inválidos",IF(A88="","ID ausente",IF(COUNTIFS($A$5:$A$204,A88)&lt;&gt;1,"ID duplicado",IF(OR(NOT(ISNUMBER(B88)),B88&lt;=0),"Abertura inválida",IF(OR(NOT(ISNUMBER(Listas!$B$18)),Listas!$B$18&lt;=0),"Data da análise inválida",IF(B88&gt;Listas!$B$18,"Abertura após análise",IF(COUNTIFS(Listas!$A$6:$A$9,H88)&lt;&gt;1,"Prioridade inválida",IF(COUNTIFS(Equipe!$A$5:$A$12,I88)&lt;&gt;1,"Responsável inválido",IF(COUNTIFS(Listas!$E$6:$E$11,J88)&lt;&gt;1,"Status inválido",IF(AND(L88&lt;&gt;"",OR(NOT(ISNUMBER(L88)),L88&lt;B88,L88&gt;Listas!$B$18)),"Resposta inválida",IF(AND(O88&lt;&gt;"",OR(NOT(ISNUMBER(O88)),O88&lt;B88,O88&gt;Listas!$B$18)),"Resolução inválida",IF(AND(OR(J88="Fechado",J88="Resolvido"),O88=""),"Conclusão sem resolução",IF(OR(NOT(ISNUMBER(S88)),S88&lt;1,S88&gt;5,IF(ISNUMBER(S88),S88&lt;&gt;INT(S88),FALSE),NOT(ISNUMBER(T88)),T88&lt;1,T88&gt;5,IF(ISNUMBER(T88),T88&lt;&gt;INT(T88),FALSE)),"Impacto ou urgência inválido",""))))))))))))))</x:f>
      </x:c>
      <x:c r="Y88" s="194" t="n">
        <x:f>IF(AND(COUNTA(A88:J88,L88,O88,S88:T88,W88)&gt;0,OR(Listas!$B$20="Todos",I88=Listas!$B$20)),1,0)</x:f>
        <x:v>0</x:v>
      </x:c>
      <x:c r="Z88" s="194" t="n">
        <x:f>IF(AND(Y88=1,X88="",J88&lt;&gt;"Cancelado",NOT(OR(J88="Fechado",J88="Resolvido"))),1,0)</x:f>
        <x:v>0</x:v>
      </x:c>
      <x:c r="AA88" s="194" t="n">
        <x:f>IF(AND(Y88=1,X88="",OR(J88="Fechado",J88="Resolvido")),1,0)</x:f>
        <x:v>0</x:v>
      </x:c>
      <x:c r="AB88" s="194" t="n">
        <x:f>IF(Y88=0,0,IF(X88&lt;&gt;"",1,IF(Z88=0,0,IF(P88="ATRASADO",2,IF(AND(M88="ATRASADO",L88=""),3,IF(V88="ESCALAR",4,IF(V88="REVISAR BACKLOG",5,0)))))))</x:f>
        <x:v>0</x:v>
      </x:c>
      <x:c r="AC88" s="194" t="str">
        <x:f>IF(AB88=0,"",COUNTIFS($AB$5:$AB$204,"&gt;0",$AB$5:$AB$204,"&lt;"&amp;AB88)+COUNTIFS($AB$5:AB88,AB88))</x:f>
      </x:c>
      <x:c r="AD88" s="194" t="n">
        <x:f>IF(AND(A88&lt;&gt;"",X88=""),1,0)</x:f>
        <x:v>0</x:v>
      </x:c>
      <x:c r="AE88" s="194" t="n">
        <x:f>IF(AND(Y88=1,X88&lt;&gt;""),1,0)</x:f>
        <x:v>0</x:v>
      </x:c>
      <x:c r="AF88" s="194" t="n">
        <x:f>IF(L88="",1,0)</x:f>
        <x:v>1</x:v>
      </x:c>
    </x:row>
    <x:row r="89">
      <x:c r="A89" s="28"/>
      <x:c r="B89" s="41"/>
      <x:c r="C89" s="28"/>
      <x:c r="D89" s="28"/>
      <x:c r="E89" s="28"/>
      <x:c r="F89" s="28"/>
      <x:c r="G89" s="28"/>
      <x:c r="H89" s="28"/>
      <x:c r="I89" s="28"/>
      <x:c r="J89" s="28"/>
      <x:c r="K89" s="54" t="str">
        <x:f>IF(OR(A89="",X89&lt;&gt;""),"",B89+INDEX(Listas!$B$6:$B$9,MATCH(H89,Listas!$A$6:$A$9,0))/24)</x:f>
      </x:c>
      <x:c r="L89" s="41"/>
      <x:c r="M89" s="55" t="str">
        <x:f>IF(A89="","",IF(X89&lt;&gt;"","DADO PENDENTE",IF(J89="Cancelado","N.A.",IF(L89&lt;&gt;"",IF(L89&lt;=K89,"ATENDIDO","ATRASADO"),IF(OR(J89="Fechado",J89="Resolvido"),"SEM EVIDÊNCIA",IF(Listas!$B$18&gt;K89,"ATRASADO","PENDENTE"))))))</x:f>
      </x:c>
      <x:c r="N89" s="54" t="str">
        <x:f>IF(OR(A89="",X89&lt;&gt;""),"",B89+INDEX(Listas!$C$6:$C$9,MATCH(H89,Listas!$A$6:$A$9,0))/24)</x:f>
      </x:c>
      <x:c r="O89" s="41"/>
      <x:c r="P89" s="55" t="str">
        <x:f>IF(A89="","",IF(X89&lt;&gt;"","DADO PENDENTE",IF(J89="Cancelado","N.A.",IF(OR(J89="Fechado",J89="Resolvido"),IF(O89&lt;=N89,"ATENDIDO","ATRASADO"),IF(Listas!$B$18&gt;N89,"ATRASADO","PENDENTE")))))</x:f>
      </x:c>
      <x:c r="Q89" s="56" t="str">
        <x:f>IF(OR(A89="",X89&lt;&gt;"",J89="Cancelado"),"",24*IF(OR(J89="Fechado",J89="Resolvido"),O89-B89,Listas!$B$18-B89))</x:f>
      </x:c>
      <x:c r="R89" s="57" t="str">
        <x:f>IF(OR(A89="",X89&lt;&gt;"",J89="Cancelado"),"",INT(IF(OR(J89="Fechado",J89="Resolvido"),O89-B89,Listas!$B$18-B89)))</x:f>
      </x:c>
      <x:c r="S89" s="58"/>
      <x:c r="T89" s="58"/>
      <x:c r="U89" s="57" t="str">
        <x:f>IF(OR(A89="",X89&lt;&gt;"",J89="Cancelado"),"",S89*T89)</x:f>
      </x:c>
      <x:c r="V89" s="55" t="str">
        <x:f>IF(A89="","",IF(X89&lt;&gt;"","CORRIGIR DADOS",IF(J89="Cancelado","CANCELADO",IF(OR(J89="Fechado",J89="Resolvido"),"CONCLUÍDO",IF(OR(P89="ATRASADO",U89&gt;=Listas!$B$16),"ESCALAR",IF(AND(M89="ATRASADO",L89=""),"RESPONDER AGORA",IF(R89&gt;=Listas!$B$14,"REVISAR BACKLOG","ACOMPANHAR")))))))</x:f>
      </x:c>
      <x:c r="W89" s="28"/>
      <x:c r="X89" s="194" t="str">
        <x:f>IF(COUNTA(A89:J89,L89,O89,S89:T89,W89)=0,"",IF(OR(NOT(ISNUMBER(Listas!$B$14)),Listas!$B$14&lt;0,NOT(ISNUMBER(Listas!$B$16)),Listas!$B$16&lt;1,COUNT(Listas!$B$6:$C$9)&lt;&gt;8,MIN(Listas!$B$6:$C$9)&lt;=0),"Parâmetros inválidos",IF(A89="","ID ausente",IF(COUNTIFS($A$5:$A$204,A89)&lt;&gt;1,"ID duplicado",IF(OR(NOT(ISNUMBER(B89)),B89&lt;=0),"Abertura inválida",IF(OR(NOT(ISNUMBER(Listas!$B$18)),Listas!$B$18&lt;=0),"Data da análise inválida",IF(B89&gt;Listas!$B$18,"Abertura após análise",IF(COUNTIFS(Listas!$A$6:$A$9,H89)&lt;&gt;1,"Prioridade inválida",IF(COUNTIFS(Equipe!$A$5:$A$12,I89)&lt;&gt;1,"Responsável inválido",IF(COUNTIFS(Listas!$E$6:$E$11,J89)&lt;&gt;1,"Status inválido",IF(AND(L89&lt;&gt;"",OR(NOT(ISNUMBER(L89)),L89&lt;B89,L89&gt;Listas!$B$18)),"Resposta inválida",IF(AND(O89&lt;&gt;"",OR(NOT(ISNUMBER(O89)),O89&lt;B89,O89&gt;Listas!$B$18)),"Resolução inválida",IF(AND(OR(J89="Fechado",J89="Resolvido"),O89=""),"Conclusão sem resolução",IF(OR(NOT(ISNUMBER(S89)),S89&lt;1,S89&gt;5,IF(ISNUMBER(S89),S89&lt;&gt;INT(S89),FALSE),NOT(ISNUMBER(T89)),T89&lt;1,T89&gt;5,IF(ISNUMBER(T89),T89&lt;&gt;INT(T89),FALSE)),"Impacto ou urgência inválido",""))))))))))))))</x:f>
      </x:c>
      <x:c r="Y89" s="194" t="n">
        <x:f>IF(AND(COUNTA(A89:J89,L89,O89,S89:T89,W89)&gt;0,OR(Listas!$B$20="Todos",I89=Listas!$B$20)),1,0)</x:f>
        <x:v>0</x:v>
      </x:c>
      <x:c r="Z89" s="194" t="n">
        <x:f>IF(AND(Y89=1,X89="",J89&lt;&gt;"Cancelado",NOT(OR(J89="Fechado",J89="Resolvido"))),1,0)</x:f>
        <x:v>0</x:v>
      </x:c>
      <x:c r="AA89" s="194" t="n">
        <x:f>IF(AND(Y89=1,X89="",OR(J89="Fechado",J89="Resolvido")),1,0)</x:f>
        <x:v>0</x:v>
      </x:c>
      <x:c r="AB89" s="194" t="n">
        <x:f>IF(Y89=0,0,IF(X89&lt;&gt;"",1,IF(Z89=0,0,IF(P89="ATRASADO",2,IF(AND(M89="ATRASADO",L89=""),3,IF(V89="ESCALAR",4,IF(V89="REVISAR BACKLOG",5,0)))))))</x:f>
        <x:v>0</x:v>
      </x:c>
      <x:c r="AC89" s="194" t="str">
        <x:f>IF(AB89=0,"",COUNTIFS($AB$5:$AB$204,"&gt;0",$AB$5:$AB$204,"&lt;"&amp;AB89)+COUNTIFS($AB$5:AB89,AB89))</x:f>
      </x:c>
      <x:c r="AD89" s="194" t="n">
        <x:f>IF(AND(A89&lt;&gt;"",X89=""),1,0)</x:f>
        <x:v>0</x:v>
      </x:c>
      <x:c r="AE89" s="194" t="n">
        <x:f>IF(AND(Y89=1,X89&lt;&gt;""),1,0)</x:f>
        <x:v>0</x:v>
      </x:c>
      <x:c r="AF89" s="194" t="n">
        <x:f>IF(L89="",1,0)</x:f>
        <x:v>1</x:v>
      </x:c>
    </x:row>
    <x:row r="90">
      <x:c r="A90" s="28"/>
      <x:c r="B90" s="41"/>
      <x:c r="C90" s="28"/>
      <x:c r="D90" s="28"/>
      <x:c r="E90" s="28"/>
      <x:c r="F90" s="28"/>
      <x:c r="G90" s="28"/>
      <x:c r="H90" s="28"/>
      <x:c r="I90" s="28"/>
      <x:c r="J90" s="28"/>
      <x:c r="K90" s="54" t="str">
        <x:f>IF(OR(A90="",X90&lt;&gt;""),"",B90+INDEX(Listas!$B$6:$B$9,MATCH(H90,Listas!$A$6:$A$9,0))/24)</x:f>
      </x:c>
      <x:c r="L90" s="41"/>
      <x:c r="M90" s="55" t="str">
        <x:f>IF(A90="","",IF(X90&lt;&gt;"","DADO PENDENTE",IF(J90="Cancelado","N.A.",IF(L90&lt;&gt;"",IF(L90&lt;=K90,"ATENDIDO","ATRASADO"),IF(OR(J90="Fechado",J90="Resolvido"),"SEM EVIDÊNCIA",IF(Listas!$B$18&gt;K90,"ATRASADO","PENDENTE"))))))</x:f>
      </x:c>
      <x:c r="N90" s="54" t="str">
        <x:f>IF(OR(A90="",X90&lt;&gt;""),"",B90+INDEX(Listas!$C$6:$C$9,MATCH(H90,Listas!$A$6:$A$9,0))/24)</x:f>
      </x:c>
      <x:c r="O90" s="41"/>
      <x:c r="P90" s="55" t="str">
        <x:f>IF(A90="","",IF(X90&lt;&gt;"","DADO PENDENTE",IF(J90="Cancelado","N.A.",IF(OR(J90="Fechado",J90="Resolvido"),IF(O90&lt;=N90,"ATENDIDO","ATRASADO"),IF(Listas!$B$18&gt;N90,"ATRASADO","PENDENTE")))))</x:f>
      </x:c>
      <x:c r="Q90" s="56" t="str">
        <x:f>IF(OR(A90="",X90&lt;&gt;"",J90="Cancelado"),"",24*IF(OR(J90="Fechado",J90="Resolvido"),O90-B90,Listas!$B$18-B90))</x:f>
      </x:c>
      <x:c r="R90" s="57" t="str">
        <x:f>IF(OR(A90="",X90&lt;&gt;"",J90="Cancelado"),"",INT(IF(OR(J90="Fechado",J90="Resolvido"),O90-B90,Listas!$B$18-B90)))</x:f>
      </x:c>
      <x:c r="S90" s="58"/>
      <x:c r="T90" s="58"/>
      <x:c r="U90" s="57" t="str">
        <x:f>IF(OR(A90="",X90&lt;&gt;"",J90="Cancelado"),"",S90*T90)</x:f>
      </x:c>
      <x:c r="V90" s="55" t="str">
        <x:f>IF(A90="","",IF(X90&lt;&gt;"","CORRIGIR DADOS",IF(J90="Cancelado","CANCELADO",IF(OR(J90="Fechado",J90="Resolvido"),"CONCLUÍDO",IF(OR(P90="ATRASADO",U90&gt;=Listas!$B$16),"ESCALAR",IF(AND(M90="ATRASADO",L90=""),"RESPONDER AGORA",IF(R90&gt;=Listas!$B$14,"REVISAR BACKLOG","ACOMPANHAR")))))))</x:f>
      </x:c>
      <x:c r="W90" s="28"/>
      <x:c r="X90" s="194" t="str">
        <x:f>IF(COUNTA(A90:J90,L90,O90,S90:T90,W90)=0,"",IF(OR(NOT(ISNUMBER(Listas!$B$14)),Listas!$B$14&lt;0,NOT(ISNUMBER(Listas!$B$16)),Listas!$B$16&lt;1,COUNT(Listas!$B$6:$C$9)&lt;&gt;8,MIN(Listas!$B$6:$C$9)&lt;=0),"Parâmetros inválidos",IF(A90="","ID ausente",IF(COUNTIFS($A$5:$A$204,A90)&lt;&gt;1,"ID duplicado",IF(OR(NOT(ISNUMBER(B90)),B90&lt;=0),"Abertura inválida",IF(OR(NOT(ISNUMBER(Listas!$B$18)),Listas!$B$18&lt;=0),"Data da análise inválida",IF(B90&gt;Listas!$B$18,"Abertura após análise",IF(COUNTIFS(Listas!$A$6:$A$9,H90)&lt;&gt;1,"Prioridade inválida",IF(COUNTIFS(Equipe!$A$5:$A$12,I90)&lt;&gt;1,"Responsável inválido",IF(COUNTIFS(Listas!$E$6:$E$11,J90)&lt;&gt;1,"Status inválido",IF(AND(L90&lt;&gt;"",OR(NOT(ISNUMBER(L90)),L90&lt;B90,L90&gt;Listas!$B$18)),"Resposta inválida",IF(AND(O90&lt;&gt;"",OR(NOT(ISNUMBER(O90)),O90&lt;B90,O90&gt;Listas!$B$18)),"Resolução inválida",IF(AND(OR(J90="Fechado",J90="Resolvido"),O90=""),"Conclusão sem resolução",IF(OR(NOT(ISNUMBER(S90)),S90&lt;1,S90&gt;5,IF(ISNUMBER(S90),S90&lt;&gt;INT(S90),FALSE),NOT(ISNUMBER(T90)),T90&lt;1,T90&gt;5,IF(ISNUMBER(T90),T90&lt;&gt;INT(T90),FALSE)),"Impacto ou urgência inválido",""))))))))))))))</x:f>
      </x:c>
      <x:c r="Y90" s="194" t="n">
        <x:f>IF(AND(COUNTA(A90:J90,L90,O90,S90:T90,W90)&gt;0,OR(Listas!$B$20="Todos",I90=Listas!$B$20)),1,0)</x:f>
        <x:v>0</x:v>
      </x:c>
      <x:c r="Z90" s="194" t="n">
        <x:f>IF(AND(Y90=1,X90="",J90&lt;&gt;"Cancelado",NOT(OR(J90="Fechado",J90="Resolvido"))),1,0)</x:f>
        <x:v>0</x:v>
      </x:c>
      <x:c r="AA90" s="194" t="n">
        <x:f>IF(AND(Y90=1,X90="",OR(J90="Fechado",J90="Resolvido")),1,0)</x:f>
        <x:v>0</x:v>
      </x:c>
      <x:c r="AB90" s="194" t="n">
        <x:f>IF(Y90=0,0,IF(X90&lt;&gt;"",1,IF(Z90=0,0,IF(P90="ATRASADO",2,IF(AND(M90="ATRASADO",L90=""),3,IF(V90="ESCALAR",4,IF(V90="REVISAR BACKLOG",5,0)))))))</x:f>
        <x:v>0</x:v>
      </x:c>
      <x:c r="AC90" s="194" t="str">
        <x:f>IF(AB90=0,"",COUNTIFS($AB$5:$AB$204,"&gt;0",$AB$5:$AB$204,"&lt;"&amp;AB90)+COUNTIFS($AB$5:AB90,AB90))</x:f>
      </x:c>
      <x:c r="AD90" s="194" t="n">
        <x:f>IF(AND(A90&lt;&gt;"",X90=""),1,0)</x:f>
        <x:v>0</x:v>
      </x:c>
      <x:c r="AE90" s="194" t="n">
        <x:f>IF(AND(Y90=1,X90&lt;&gt;""),1,0)</x:f>
        <x:v>0</x:v>
      </x:c>
      <x:c r="AF90" s="194" t="n">
        <x:f>IF(L90="",1,0)</x:f>
        <x:v>1</x:v>
      </x:c>
    </x:row>
    <x:row r="91">
      <x:c r="A91" s="28"/>
      <x:c r="B91" s="41"/>
      <x:c r="C91" s="28"/>
      <x:c r="D91" s="28"/>
      <x:c r="E91" s="28"/>
      <x:c r="F91" s="28"/>
      <x:c r="G91" s="28"/>
      <x:c r="H91" s="28"/>
      <x:c r="I91" s="28"/>
      <x:c r="J91" s="28"/>
      <x:c r="K91" s="54" t="str">
        <x:f>IF(OR(A91="",X91&lt;&gt;""),"",B91+INDEX(Listas!$B$6:$B$9,MATCH(H91,Listas!$A$6:$A$9,0))/24)</x:f>
      </x:c>
      <x:c r="L91" s="41"/>
      <x:c r="M91" s="55" t="str">
        <x:f>IF(A91="","",IF(X91&lt;&gt;"","DADO PENDENTE",IF(J91="Cancelado","N.A.",IF(L91&lt;&gt;"",IF(L91&lt;=K91,"ATENDIDO","ATRASADO"),IF(OR(J91="Fechado",J91="Resolvido"),"SEM EVIDÊNCIA",IF(Listas!$B$18&gt;K91,"ATRASADO","PENDENTE"))))))</x:f>
      </x:c>
      <x:c r="N91" s="54" t="str">
        <x:f>IF(OR(A91="",X91&lt;&gt;""),"",B91+INDEX(Listas!$C$6:$C$9,MATCH(H91,Listas!$A$6:$A$9,0))/24)</x:f>
      </x:c>
      <x:c r="O91" s="41"/>
      <x:c r="P91" s="55" t="str">
        <x:f>IF(A91="","",IF(X91&lt;&gt;"","DADO PENDENTE",IF(J91="Cancelado","N.A.",IF(OR(J91="Fechado",J91="Resolvido"),IF(O91&lt;=N91,"ATENDIDO","ATRASADO"),IF(Listas!$B$18&gt;N91,"ATRASADO","PENDENTE")))))</x:f>
      </x:c>
      <x:c r="Q91" s="56" t="str">
        <x:f>IF(OR(A91="",X91&lt;&gt;"",J91="Cancelado"),"",24*IF(OR(J91="Fechado",J91="Resolvido"),O91-B91,Listas!$B$18-B91))</x:f>
      </x:c>
      <x:c r="R91" s="57" t="str">
        <x:f>IF(OR(A91="",X91&lt;&gt;"",J91="Cancelado"),"",INT(IF(OR(J91="Fechado",J91="Resolvido"),O91-B91,Listas!$B$18-B91)))</x:f>
      </x:c>
      <x:c r="S91" s="58"/>
      <x:c r="T91" s="58"/>
      <x:c r="U91" s="57" t="str">
        <x:f>IF(OR(A91="",X91&lt;&gt;"",J91="Cancelado"),"",S91*T91)</x:f>
      </x:c>
      <x:c r="V91" s="55" t="str">
        <x:f>IF(A91="","",IF(X91&lt;&gt;"","CORRIGIR DADOS",IF(J91="Cancelado","CANCELADO",IF(OR(J91="Fechado",J91="Resolvido"),"CONCLUÍDO",IF(OR(P91="ATRASADO",U91&gt;=Listas!$B$16),"ESCALAR",IF(AND(M91="ATRASADO",L91=""),"RESPONDER AGORA",IF(R91&gt;=Listas!$B$14,"REVISAR BACKLOG","ACOMPANHAR")))))))</x:f>
      </x:c>
      <x:c r="W91" s="28"/>
      <x:c r="X91" s="194" t="str">
        <x:f>IF(COUNTA(A91:J91,L91,O91,S91:T91,W91)=0,"",IF(OR(NOT(ISNUMBER(Listas!$B$14)),Listas!$B$14&lt;0,NOT(ISNUMBER(Listas!$B$16)),Listas!$B$16&lt;1,COUNT(Listas!$B$6:$C$9)&lt;&gt;8,MIN(Listas!$B$6:$C$9)&lt;=0),"Parâmetros inválidos",IF(A91="","ID ausente",IF(COUNTIFS($A$5:$A$204,A91)&lt;&gt;1,"ID duplicado",IF(OR(NOT(ISNUMBER(B91)),B91&lt;=0),"Abertura inválida",IF(OR(NOT(ISNUMBER(Listas!$B$18)),Listas!$B$18&lt;=0),"Data da análise inválida",IF(B91&gt;Listas!$B$18,"Abertura após análise",IF(COUNTIFS(Listas!$A$6:$A$9,H91)&lt;&gt;1,"Prioridade inválida",IF(COUNTIFS(Equipe!$A$5:$A$12,I91)&lt;&gt;1,"Responsável inválido",IF(COUNTIFS(Listas!$E$6:$E$11,J91)&lt;&gt;1,"Status inválido",IF(AND(L91&lt;&gt;"",OR(NOT(ISNUMBER(L91)),L91&lt;B91,L91&gt;Listas!$B$18)),"Resposta inválida",IF(AND(O91&lt;&gt;"",OR(NOT(ISNUMBER(O91)),O91&lt;B91,O91&gt;Listas!$B$18)),"Resolução inválida",IF(AND(OR(J91="Fechado",J91="Resolvido"),O91=""),"Conclusão sem resolução",IF(OR(NOT(ISNUMBER(S91)),S91&lt;1,S91&gt;5,IF(ISNUMBER(S91),S91&lt;&gt;INT(S91),FALSE),NOT(ISNUMBER(T91)),T91&lt;1,T91&gt;5,IF(ISNUMBER(T91),T91&lt;&gt;INT(T91),FALSE)),"Impacto ou urgência inválido",""))))))))))))))</x:f>
      </x:c>
      <x:c r="Y91" s="194" t="n">
        <x:f>IF(AND(COUNTA(A91:J91,L91,O91,S91:T91,W91)&gt;0,OR(Listas!$B$20="Todos",I91=Listas!$B$20)),1,0)</x:f>
        <x:v>0</x:v>
      </x:c>
      <x:c r="Z91" s="194" t="n">
        <x:f>IF(AND(Y91=1,X91="",J91&lt;&gt;"Cancelado",NOT(OR(J91="Fechado",J91="Resolvido"))),1,0)</x:f>
        <x:v>0</x:v>
      </x:c>
      <x:c r="AA91" s="194" t="n">
        <x:f>IF(AND(Y91=1,X91="",OR(J91="Fechado",J91="Resolvido")),1,0)</x:f>
        <x:v>0</x:v>
      </x:c>
      <x:c r="AB91" s="194" t="n">
        <x:f>IF(Y91=0,0,IF(X91&lt;&gt;"",1,IF(Z91=0,0,IF(P91="ATRASADO",2,IF(AND(M91="ATRASADO",L91=""),3,IF(V91="ESCALAR",4,IF(V91="REVISAR BACKLOG",5,0)))))))</x:f>
        <x:v>0</x:v>
      </x:c>
      <x:c r="AC91" s="194" t="str">
        <x:f>IF(AB91=0,"",COUNTIFS($AB$5:$AB$204,"&gt;0",$AB$5:$AB$204,"&lt;"&amp;AB91)+COUNTIFS($AB$5:AB91,AB91))</x:f>
      </x:c>
      <x:c r="AD91" s="194" t="n">
        <x:f>IF(AND(A91&lt;&gt;"",X91=""),1,0)</x:f>
        <x:v>0</x:v>
      </x:c>
      <x:c r="AE91" s="194" t="n">
        <x:f>IF(AND(Y91=1,X91&lt;&gt;""),1,0)</x:f>
        <x:v>0</x:v>
      </x:c>
      <x:c r="AF91" s="194" t="n">
        <x:f>IF(L91="",1,0)</x:f>
        <x:v>1</x:v>
      </x:c>
    </x:row>
    <x:row r="92">
      <x:c r="A92" s="28"/>
      <x:c r="B92" s="41"/>
      <x:c r="C92" s="28"/>
      <x:c r="D92" s="28"/>
      <x:c r="E92" s="28"/>
      <x:c r="F92" s="28"/>
      <x:c r="G92" s="28"/>
      <x:c r="H92" s="28"/>
      <x:c r="I92" s="28"/>
      <x:c r="J92" s="28"/>
      <x:c r="K92" s="54" t="str">
        <x:f>IF(OR(A92="",X92&lt;&gt;""),"",B92+INDEX(Listas!$B$6:$B$9,MATCH(H92,Listas!$A$6:$A$9,0))/24)</x:f>
      </x:c>
      <x:c r="L92" s="41"/>
      <x:c r="M92" s="55" t="str">
        <x:f>IF(A92="","",IF(X92&lt;&gt;"","DADO PENDENTE",IF(J92="Cancelado","N.A.",IF(L92&lt;&gt;"",IF(L92&lt;=K92,"ATENDIDO","ATRASADO"),IF(OR(J92="Fechado",J92="Resolvido"),"SEM EVIDÊNCIA",IF(Listas!$B$18&gt;K92,"ATRASADO","PENDENTE"))))))</x:f>
      </x:c>
      <x:c r="N92" s="54" t="str">
        <x:f>IF(OR(A92="",X92&lt;&gt;""),"",B92+INDEX(Listas!$C$6:$C$9,MATCH(H92,Listas!$A$6:$A$9,0))/24)</x:f>
      </x:c>
      <x:c r="O92" s="41"/>
      <x:c r="P92" s="55" t="str">
        <x:f>IF(A92="","",IF(X92&lt;&gt;"","DADO PENDENTE",IF(J92="Cancelado","N.A.",IF(OR(J92="Fechado",J92="Resolvido"),IF(O92&lt;=N92,"ATENDIDO","ATRASADO"),IF(Listas!$B$18&gt;N92,"ATRASADO","PENDENTE")))))</x:f>
      </x:c>
      <x:c r="Q92" s="56" t="str">
        <x:f>IF(OR(A92="",X92&lt;&gt;"",J92="Cancelado"),"",24*IF(OR(J92="Fechado",J92="Resolvido"),O92-B92,Listas!$B$18-B92))</x:f>
      </x:c>
      <x:c r="R92" s="57" t="str">
        <x:f>IF(OR(A92="",X92&lt;&gt;"",J92="Cancelado"),"",INT(IF(OR(J92="Fechado",J92="Resolvido"),O92-B92,Listas!$B$18-B92)))</x:f>
      </x:c>
      <x:c r="S92" s="58"/>
      <x:c r="T92" s="58"/>
      <x:c r="U92" s="57" t="str">
        <x:f>IF(OR(A92="",X92&lt;&gt;"",J92="Cancelado"),"",S92*T92)</x:f>
      </x:c>
      <x:c r="V92" s="55" t="str">
        <x:f>IF(A92="","",IF(X92&lt;&gt;"","CORRIGIR DADOS",IF(J92="Cancelado","CANCELADO",IF(OR(J92="Fechado",J92="Resolvido"),"CONCLUÍDO",IF(OR(P92="ATRASADO",U92&gt;=Listas!$B$16),"ESCALAR",IF(AND(M92="ATRASADO",L92=""),"RESPONDER AGORA",IF(R92&gt;=Listas!$B$14,"REVISAR BACKLOG","ACOMPANHAR")))))))</x:f>
      </x:c>
      <x:c r="W92" s="28"/>
      <x:c r="X92" s="194" t="str">
        <x:f>IF(COUNTA(A92:J92,L92,O92,S92:T92,W92)=0,"",IF(OR(NOT(ISNUMBER(Listas!$B$14)),Listas!$B$14&lt;0,NOT(ISNUMBER(Listas!$B$16)),Listas!$B$16&lt;1,COUNT(Listas!$B$6:$C$9)&lt;&gt;8,MIN(Listas!$B$6:$C$9)&lt;=0),"Parâmetros inválidos",IF(A92="","ID ausente",IF(COUNTIFS($A$5:$A$204,A92)&lt;&gt;1,"ID duplicado",IF(OR(NOT(ISNUMBER(B92)),B92&lt;=0),"Abertura inválida",IF(OR(NOT(ISNUMBER(Listas!$B$18)),Listas!$B$18&lt;=0),"Data da análise inválida",IF(B92&gt;Listas!$B$18,"Abertura após análise",IF(COUNTIFS(Listas!$A$6:$A$9,H92)&lt;&gt;1,"Prioridade inválida",IF(COUNTIFS(Equipe!$A$5:$A$12,I92)&lt;&gt;1,"Responsável inválido",IF(COUNTIFS(Listas!$E$6:$E$11,J92)&lt;&gt;1,"Status inválido",IF(AND(L92&lt;&gt;"",OR(NOT(ISNUMBER(L92)),L92&lt;B92,L92&gt;Listas!$B$18)),"Resposta inválida",IF(AND(O92&lt;&gt;"",OR(NOT(ISNUMBER(O92)),O92&lt;B92,O92&gt;Listas!$B$18)),"Resolução inválida",IF(AND(OR(J92="Fechado",J92="Resolvido"),O92=""),"Conclusão sem resolução",IF(OR(NOT(ISNUMBER(S92)),S92&lt;1,S92&gt;5,IF(ISNUMBER(S92),S92&lt;&gt;INT(S92),FALSE),NOT(ISNUMBER(T92)),T92&lt;1,T92&gt;5,IF(ISNUMBER(T92),T92&lt;&gt;INT(T92),FALSE)),"Impacto ou urgência inválido",""))))))))))))))</x:f>
      </x:c>
      <x:c r="Y92" s="194" t="n">
        <x:f>IF(AND(COUNTA(A92:J92,L92,O92,S92:T92,W92)&gt;0,OR(Listas!$B$20="Todos",I92=Listas!$B$20)),1,0)</x:f>
        <x:v>0</x:v>
      </x:c>
      <x:c r="Z92" s="194" t="n">
        <x:f>IF(AND(Y92=1,X92="",J92&lt;&gt;"Cancelado",NOT(OR(J92="Fechado",J92="Resolvido"))),1,0)</x:f>
        <x:v>0</x:v>
      </x:c>
      <x:c r="AA92" s="194" t="n">
        <x:f>IF(AND(Y92=1,X92="",OR(J92="Fechado",J92="Resolvido")),1,0)</x:f>
        <x:v>0</x:v>
      </x:c>
      <x:c r="AB92" s="194" t="n">
        <x:f>IF(Y92=0,0,IF(X92&lt;&gt;"",1,IF(Z92=0,0,IF(P92="ATRASADO",2,IF(AND(M92="ATRASADO",L92=""),3,IF(V92="ESCALAR",4,IF(V92="REVISAR BACKLOG",5,0)))))))</x:f>
        <x:v>0</x:v>
      </x:c>
      <x:c r="AC92" s="194" t="str">
        <x:f>IF(AB92=0,"",COUNTIFS($AB$5:$AB$204,"&gt;0",$AB$5:$AB$204,"&lt;"&amp;AB92)+COUNTIFS($AB$5:AB92,AB92))</x:f>
      </x:c>
      <x:c r="AD92" s="194" t="n">
        <x:f>IF(AND(A92&lt;&gt;"",X92=""),1,0)</x:f>
        <x:v>0</x:v>
      </x:c>
      <x:c r="AE92" s="194" t="n">
        <x:f>IF(AND(Y92=1,X92&lt;&gt;""),1,0)</x:f>
        <x:v>0</x:v>
      </x:c>
      <x:c r="AF92" s="194" t="n">
        <x:f>IF(L92="",1,0)</x:f>
        <x:v>1</x:v>
      </x:c>
    </x:row>
    <x:row r="93">
      <x:c r="A93" s="28"/>
      <x:c r="B93" s="41"/>
      <x:c r="C93" s="28"/>
      <x:c r="D93" s="28"/>
      <x:c r="E93" s="28"/>
      <x:c r="F93" s="28"/>
      <x:c r="G93" s="28"/>
      <x:c r="H93" s="28"/>
      <x:c r="I93" s="28"/>
      <x:c r="J93" s="28"/>
      <x:c r="K93" s="54" t="str">
        <x:f>IF(OR(A93="",X93&lt;&gt;""),"",B93+INDEX(Listas!$B$6:$B$9,MATCH(H93,Listas!$A$6:$A$9,0))/24)</x:f>
      </x:c>
      <x:c r="L93" s="41"/>
      <x:c r="M93" s="55" t="str">
        <x:f>IF(A93="","",IF(X93&lt;&gt;"","DADO PENDENTE",IF(J93="Cancelado","N.A.",IF(L93&lt;&gt;"",IF(L93&lt;=K93,"ATENDIDO","ATRASADO"),IF(OR(J93="Fechado",J93="Resolvido"),"SEM EVIDÊNCIA",IF(Listas!$B$18&gt;K93,"ATRASADO","PENDENTE"))))))</x:f>
      </x:c>
      <x:c r="N93" s="54" t="str">
        <x:f>IF(OR(A93="",X93&lt;&gt;""),"",B93+INDEX(Listas!$C$6:$C$9,MATCH(H93,Listas!$A$6:$A$9,0))/24)</x:f>
      </x:c>
      <x:c r="O93" s="41"/>
      <x:c r="P93" s="55" t="str">
        <x:f>IF(A93="","",IF(X93&lt;&gt;"","DADO PENDENTE",IF(J93="Cancelado","N.A.",IF(OR(J93="Fechado",J93="Resolvido"),IF(O93&lt;=N93,"ATENDIDO","ATRASADO"),IF(Listas!$B$18&gt;N93,"ATRASADO","PENDENTE")))))</x:f>
      </x:c>
      <x:c r="Q93" s="56" t="str">
        <x:f>IF(OR(A93="",X93&lt;&gt;"",J93="Cancelado"),"",24*IF(OR(J93="Fechado",J93="Resolvido"),O93-B93,Listas!$B$18-B93))</x:f>
      </x:c>
      <x:c r="R93" s="57" t="str">
        <x:f>IF(OR(A93="",X93&lt;&gt;"",J93="Cancelado"),"",INT(IF(OR(J93="Fechado",J93="Resolvido"),O93-B93,Listas!$B$18-B93)))</x:f>
      </x:c>
      <x:c r="S93" s="58"/>
      <x:c r="T93" s="58"/>
      <x:c r="U93" s="57" t="str">
        <x:f>IF(OR(A93="",X93&lt;&gt;"",J93="Cancelado"),"",S93*T93)</x:f>
      </x:c>
      <x:c r="V93" s="55" t="str">
        <x:f>IF(A93="","",IF(X93&lt;&gt;"","CORRIGIR DADOS",IF(J93="Cancelado","CANCELADO",IF(OR(J93="Fechado",J93="Resolvido"),"CONCLUÍDO",IF(OR(P93="ATRASADO",U93&gt;=Listas!$B$16),"ESCALAR",IF(AND(M93="ATRASADO",L93=""),"RESPONDER AGORA",IF(R93&gt;=Listas!$B$14,"REVISAR BACKLOG","ACOMPANHAR")))))))</x:f>
      </x:c>
      <x:c r="W93" s="28"/>
      <x:c r="X93" s="194" t="str">
        <x:f>IF(COUNTA(A93:J93,L93,O93,S93:T93,W93)=0,"",IF(OR(NOT(ISNUMBER(Listas!$B$14)),Listas!$B$14&lt;0,NOT(ISNUMBER(Listas!$B$16)),Listas!$B$16&lt;1,COUNT(Listas!$B$6:$C$9)&lt;&gt;8,MIN(Listas!$B$6:$C$9)&lt;=0),"Parâmetros inválidos",IF(A93="","ID ausente",IF(COUNTIFS($A$5:$A$204,A93)&lt;&gt;1,"ID duplicado",IF(OR(NOT(ISNUMBER(B93)),B93&lt;=0),"Abertura inválida",IF(OR(NOT(ISNUMBER(Listas!$B$18)),Listas!$B$18&lt;=0),"Data da análise inválida",IF(B93&gt;Listas!$B$18,"Abertura após análise",IF(COUNTIFS(Listas!$A$6:$A$9,H93)&lt;&gt;1,"Prioridade inválida",IF(COUNTIFS(Equipe!$A$5:$A$12,I93)&lt;&gt;1,"Responsável inválido",IF(COUNTIFS(Listas!$E$6:$E$11,J93)&lt;&gt;1,"Status inválido",IF(AND(L93&lt;&gt;"",OR(NOT(ISNUMBER(L93)),L93&lt;B93,L93&gt;Listas!$B$18)),"Resposta inválida",IF(AND(O93&lt;&gt;"",OR(NOT(ISNUMBER(O93)),O93&lt;B93,O93&gt;Listas!$B$18)),"Resolução inválida",IF(AND(OR(J93="Fechado",J93="Resolvido"),O93=""),"Conclusão sem resolução",IF(OR(NOT(ISNUMBER(S93)),S93&lt;1,S93&gt;5,IF(ISNUMBER(S93),S93&lt;&gt;INT(S93),FALSE),NOT(ISNUMBER(T93)),T93&lt;1,T93&gt;5,IF(ISNUMBER(T93),T93&lt;&gt;INT(T93),FALSE)),"Impacto ou urgência inválido",""))))))))))))))</x:f>
      </x:c>
      <x:c r="Y93" s="194" t="n">
        <x:f>IF(AND(COUNTA(A93:J93,L93,O93,S93:T93,W93)&gt;0,OR(Listas!$B$20="Todos",I93=Listas!$B$20)),1,0)</x:f>
        <x:v>0</x:v>
      </x:c>
      <x:c r="Z93" s="194" t="n">
        <x:f>IF(AND(Y93=1,X93="",J93&lt;&gt;"Cancelado",NOT(OR(J93="Fechado",J93="Resolvido"))),1,0)</x:f>
        <x:v>0</x:v>
      </x:c>
      <x:c r="AA93" s="194" t="n">
        <x:f>IF(AND(Y93=1,X93="",OR(J93="Fechado",J93="Resolvido")),1,0)</x:f>
        <x:v>0</x:v>
      </x:c>
      <x:c r="AB93" s="194" t="n">
        <x:f>IF(Y93=0,0,IF(X93&lt;&gt;"",1,IF(Z93=0,0,IF(P93="ATRASADO",2,IF(AND(M93="ATRASADO",L93=""),3,IF(V93="ESCALAR",4,IF(V93="REVISAR BACKLOG",5,0)))))))</x:f>
        <x:v>0</x:v>
      </x:c>
      <x:c r="AC93" s="194" t="str">
        <x:f>IF(AB93=0,"",COUNTIFS($AB$5:$AB$204,"&gt;0",$AB$5:$AB$204,"&lt;"&amp;AB93)+COUNTIFS($AB$5:AB93,AB93))</x:f>
      </x:c>
      <x:c r="AD93" s="194" t="n">
        <x:f>IF(AND(A93&lt;&gt;"",X93=""),1,0)</x:f>
        <x:v>0</x:v>
      </x:c>
      <x:c r="AE93" s="194" t="n">
        <x:f>IF(AND(Y93=1,X93&lt;&gt;""),1,0)</x:f>
        <x:v>0</x:v>
      </x:c>
      <x:c r="AF93" s="194" t="n">
        <x:f>IF(L93="",1,0)</x:f>
        <x:v>1</x:v>
      </x:c>
    </x:row>
    <x:row r="94">
      <x:c r="A94" s="28"/>
      <x:c r="B94" s="41"/>
      <x:c r="C94" s="28"/>
      <x:c r="D94" s="28"/>
      <x:c r="E94" s="28"/>
      <x:c r="F94" s="28"/>
      <x:c r="G94" s="28"/>
      <x:c r="H94" s="28"/>
      <x:c r="I94" s="28"/>
      <x:c r="J94" s="28"/>
      <x:c r="K94" s="54" t="str">
        <x:f>IF(OR(A94="",X94&lt;&gt;""),"",B94+INDEX(Listas!$B$6:$B$9,MATCH(H94,Listas!$A$6:$A$9,0))/24)</x:f>
      </x:c>
      <x:c r="L94" s="41"/>
      <x:c r="M94" s="55" t="str">
        <x:f>IF(A94="","",IF(X94&lt;&gt;"","DADO PENDENTE",IF(J94="Cancelado","N.A.",IF(L94&lt;&gt;"",IF(L94&lt;=K94,"ATENDIDO","ATRASADO"),IF(OR(J94="Fechado",J94="Resolvido"),"SEM EVIDÊNCIA",IF(Listas!$B$18&gt;K94,"ATRASADO","PENDENTE"))))))</x:f>
      </x:c>
      <x:c r="N94" s="54" t="str">
        <x:f>IF(OR(A94="",X94&lt;&gt;""),"",B94+INDEX(Listas!$C$6:$C$9,MATCH(H94,Listas!$A$6:$A$9,0))/24)</x:f>
      </x:c>
      <x:c r="O94" s="41"/>
      <x:c r="P94" s="55" t="str">
        <x:f>IF(A94="","",IF(X94&lt;&gt;"","DADO PENDENTE",IF(J94="Cancelado","N.A.",IF(OR(J94="Fechado",J94="Resolvido"),IF(O94&lt;=N94,"ATENDIDO","ATRASADO"),IF(Listas!$B$18&gt;N94,"ATRASADO","PENDENTE")))))</x:f>
      </x:c>
      <x:c r="Q94" s="56" t="str">
        <x:f>IF(OR(A94="",X94&lt;&gt;"",J94="Cancelado"),"",24*IF(OR(J94="Fechado",J94="Resolvido"),O94-B94,Listas!$B$18-B94))</x:f>
      </x:c>
      <x:c r="R94" s="57" t="str">
        <x:f>IF(OR(A94="",X94&lt;&gt;"",J94="Cancelado"),"",INT(IF(OR(J94="Fechado",J94="Resolvido"),O94-B94,Listas!$B$18-B94)))</x:f>
      </x:c>
      <x:c r="S94" s="58"/>
      <x:c r="T94" s="58"/>
      <x:c r="U94" s="57" t="str">
        <x:f>IF(OR(A94="",X94&lt;&gt;"",J94="Cancelado"),"",S94*T94)</x:f>
      </x:c>
      <x:c r="V94" s="55" t="str">
        <x:f>IF(A94="","",IF(X94&lt;&gt;"","CORRIGIR DADOS",IF(J94="Cancelado","CANCELADO",IF(OR(J94="Fechado",J94="Resolvido"),"CONCLUÍDO",IF(OR(P94="ATRASADO",U94&gt;=Listas!$B$16),"ESCALAR",IF(AND(M94="ATRASADO",L94=""),"RESPONDER AGORA",IF(R94&gt;=Listas!$B$14,"REVISAR BACKLOG","ACOMPANHAR")))))))</x:f>
      </x:c>
      <x:c r="W94" s="28"/>
      <x:c r="X94" s="194" t="str">
        <x:f>IF(COUNTA(A94:J94,L94,O94,S94:T94,W94)=0,"",IF(OR(NOT(ISNUMBER(Listas!$B$14)),Listas!$B$14&lt;0,NOT(ISNUMBER(Listas!$B$16)),Listas!$B$16&lt;1,COUNT(Listas!$B$6:$C$9)&lt;&gt;8,MIN(Listas!$B$6:$C$9)&lt;=0),"Parâmetros inválidos",IF(A94="","ID ausente",IF(COUNTIFS($A$5:$A$204,A94)&lt;&gt;1,"ID duplicado",IF(OR(NOT(ISNUMBER(B94)),B94&lt;=0),"Abertura inválida",IF(OR(NOT(ISNUMBER(Listas!$B$18)),Listas!$B$18&lt;=0),"Data da análise inválida",IF(B94&gt;Listas!$B$18,"Abertura após análise",IF(COUNTIFS(Listas!$A$6:$A$9,H94)&lt;&gt;1,"Prioridade inválida",IF(COUNTIFS(Equipe!$A$5:$A$12,I94)&lt;&gt;1,"Responsável inválido",IF(COUNTIFS(Listas!$E$6:$E$11,J94)&lt;&gt;1,"Status inválido",IF(AND(L94&lt;&gt;"",OR(NOT(ISNUMBER(L94)),L94&lt;B94,L94&gt;Listas!$B$18)),"Resposta inválida",IF(AND(O94&lt;&gt;"",OR(NOT(ISNUMBER(O94)),O94&lt;B94,O94&gt;Listas!$B$18)),"Resolução inválida",IF(AND(OR(J94="Fechado",J94="Resolvido"),O94=""),"Conclusão sem resolução",IF(OR(NOT(ISNUMBER(S94)),S94&lt;1,S94&gt;5,IF(ISNUMBER(S94),S94&lt;&gt;INT(S94),FALSE),NOT(ISNUMBER(T94)),T94&lt;1,T94&gt;5,IF(ISNUMBER(T94),T94&lt;&gt;INT(T94),FALSE)),"Impacto ou urgência inválido",""))))))))))))))</x:f>
      </x:c>
      <x:c r="Y94" s="194" t="n">
        <x:f>IF(AND(COUNTA(A94:J94,L94,O94,S94:T94,W94)&gt;0,OR(Listas!$B$20="Todos",I94=Listas!$B$20)),1,0)</x:f>
        <x:v>0</x:v>
      </x:c>
      <x:c r="Z94" s="194" t="n">
        <x:f>IF(AND(Y94=1,X94="",J94&lt;&gt;"Cancelado",NOT(OR(J94="Fechado",J94="Resolvido"))),1,0)</x:f>
        <x:v>0</x:v>
      </x:c>
      <x:c r="AA94" s="194" t="n">
        <x:f>IF(AND(Y94=1,X94="",OR(J94="Fechado",J94="Resolvido")),1,0)</x:f>
        <x:v>0</x:v>
      </x:c>
      <x:c r="AB94" s="194" t="n">
        <x:f>IF(Y94=0,0,IF(X94&lt;&gt;"",1,IF(Z94=0,0,IF(P94="ATRASADO",2,IF(AND(M94="ATRASADO",L94=""),3,IF(V94="ESCALAR",4,IF(V94="REVISAR BACKLOG",5,0)))))))</x:f>
        <x:v>0</x:v>
      </x:c>
      <x:c r="AC94" s="194" t="str">
        <x:f>IF(AB94=0,"",COUNTIFS($AB$5:$AB$204,"&gt;0",$AB$5:$AB$204,"&lt;"&amp;AB94)+COUNTIFS($AB$5:AB94,AB94))</x:f>
      </x:c>
      <x:c r="AD94" s="194" t="n">
        <x:f>IF(AND(A94&lt;&gt;"",X94=""),1,0)</x:f>
        <x:v>0</x:v>
      </x:c>
      <x:c r="AE94" s="194" t="n">
        <x:f>IF(AND(Y94=1,X94&lt;&gt;""),1,0)</x:f>
        <x:v>0</x:v>
      </x:c>
      <x:c r="AF94" s="194" t="n">
        <x:f>IF(L94="",1,0)</x:f>
        <x:v>1</x:v>
      </x:c>
    </x:row>
    <x:row r="95">
      <x:c r="A95" s="28"/>
      <x:c r="B95" s="41"/>
      <x:c r="C95" s="28"/>
      <x:c r="D95" s="28"/>
      <x:c r="E95" s="28"/>
      <x:c r="F95" s="28"/>
      <x:c r="G95" s="28"/>
      <x:c r="H95" s="28"/>
      <x:c r="I95" s="28"/>
      <x:c r="J95" s="28"/>
      <x:c r="K95" s="54" t="str">
        <x:f>IF(OR(A95="",X95&lt;&gt;""),"",B95+INDEX(Listas!$B$6:$B$9,MATCH(H95,Listas!$A$6:$A$9,0))/24)</x:f>
      </x:c>
      <x:c r="L95" s="41"/>
      <x:c r="M95" s="55" t="str">
        <x:f>IF(A95="","",IF(X95&lt;&gt;"","DADO PENDENTE",IF(J95="Cancelado","N.A.",IF(L95&lt;&gt;"",IF(L95&lt;=K95,"ATENDIDO","ATRASADO"),IF(OR(J95="Fechado",J95="Resolvido"),"SEM EVIDÊNCIA",IF(Listas!$B$18&gt;K95,"ATRASADO","PENDENTE"))))))</x:f>
      </x:c>
      <x:c r="N95" s="54" t="str">
        <x:f>IF(OR(A95="",X95&lt;&gt;""),"",B95+INDEX(Listas!$C$6:$C$9,MATCH(H95,Listas!$A$6:$A$9,0))/24)</x:f>
      </x:c>
      <x:c r="O95" s="41"/>
      <x:c r="P95" s="55" t="str">
        <x:f>IF(A95="","",IF(X95&lt;&gt;"","DADO PENDENTE",IF(J95="Cancelado","N.A.",IF(OR(J95="Fechado",J95="Resolvido"),IF(O95&lt;=N95,"ATENDIDO","ATRASADO"),IF(Listas!$B$18&gt;N95,"ATRASADO","PENDENTE")))))</x:f>
      </x:c>
      <x:c r="Q95" s="56" t="str">
        <x:f>IF(OR(A95="",X95&lt;&gt;"",J95="Cancelado"),"",24*IF(OR(J95="Fechado",J95="Resolvido"),O95-B95,Listas!$B$18-B95))</x:f>
      </x:c>
      <x:c r="R95" s="57" t="str">
        <x:f>IF(OR(A95="",X95&lt;&gt;"",J95="Cancelado"),"",INT(IF(OR(J95="Fechado",J95="Resolvido"),O95-B95,Listas!$B$18-B95)))</x:f>
      </x:c>
      <x:c r="S95" s="58"/>
      <x:c r="T95" s="58"/>
      <x:c r="U95" s="57" t="str">
        <x:f>IF(OR(A95="",X95&lt;&gt;"",J95="Cancelado"),"",S95*T95)</x:f>
      </x:c>
      <x:c r="V95" s="55" t="str">
        <x:f>IF(A95="","",IF(X95&lt;&gt;"","CORRIGIR DADOS",IF(J95="Cancelado","CANCELADO",IF(OR(J95="Fechado",J95="Resolvido"),"CONCLUÍDO",IF(OR(P95="ATRASADO",U95&gt;=Listas!$B$16),"ESCALAR",IF(AND(M95="ATRASADO",L95=""),"RESPONDER AGORA",IF(R95&gt;=Listas!$B$14,"REVISAR BACKLOG","ACOMPANHAR")))))))</x:f>
      </x:c>
      <x:c r="W95" s="28"/>
      <x:c r="X95" s="194" t="str">
        <x:f>IF(COUNTA(A95:J95,L95,O95,S95:T95,W95)=0,"",IF(OR(NOT(ISNUMBER(Listas!$B$14)),Listas!$B$14&lt;0,NOT(ISNUMBER(Listas!$B$16)),Listas!$B$16&lt;1,COUNT(Listas!$B$6:$C$9)&lt;&gt;8,MIN(Listas!$B$6:$C$9)&lt;=0),"Parâmetros inválidos",IF(A95="","ID ausente",IF(COUNTIFS($A$5:$A$204,A95)&lt;&gt;1,"ID duplicado",IF(OR(NOT(ISNUMBER(B95)),B95&lt;=0),"Abertura inválida",IF(OR(NOT(ISNUMBER(Listas!$B$18)),Listas!$B$18&lt;=0),"Data da análise inválida",IF(B95&gt;Listas!$B$18,"Abertura após análise",IF(COUNTIFS(Listas!$A$6:$A$9,H95)&lt;&gt;1,"Prioridade inválida",IF(COUNTIFS(Equipe!$A$5:$A$12,I95)&lt;&gt;1,"Responsável inválido",IF(COUNTIFS(Listas!$E$6:$E$11,J95)&lt;&gt;1,"Status inválido",IF(AND(L95&lt;&gt;"",OR(NOT(ISNUMBER(L95)),L95&lt;B95,L95&gt;Listas!$B$18)),"Resposta inválida",IF(AND(O95&lt;&gt;"",OR(NOT(ISNUMBER(O95)),O95&lt;B95,O95&gt;Listas!$B$18)),"Resolução inválida",IF(AND(OR(J95="Fechado",J95="Resolvido"),O95=""),"Conclusão sem resolução",IF(OR(NOT(ISNUMBER(S95)),S95&lt;1,S95&gt;5,IF(ISNUMBER(S95),S95&lt;&gt;INT(S95),FALSE),NOT(ISNUMBER(T95)),T95&lt;1,T95&gt;5,IF(ISNUMBER(T95),T95&lt;&gt;INT(T95),FALSE)),"Impacto ou urgência inválido",""))))))))))))))</x:f>
      </x:c>
      <x:c r="Y95" s="194" t="n">
        <x:f>IF(AND(COUNTA(A95:J95,L95,O95,S95:T95,W95)&gt;0,OR(Listas!$B$20="Todos",I95=Listas!$B$20)),1,0)</x:f>
        <x:v>0</x:v>
      </x:c>
      <x:c r="Z95" s="194" t="n">
        <x:f>IF(AND(Y95=1,X95="",J95&lt;&gt;"Cancelado",NOT(OR(J95="Fechado",J95="Resolvido"))),1,0)</x:f>
        <x:v>0</x:v>
      </x:c>
      <x:c r="AA95" s="194" t="n">
        <x:f>IF(AND(Y95=1,X95="",OR(J95="Fechado",J95="Resolvido")),1,0)</x:f>
        <x:v>0</x:v>
      </x:c>
      <x:c r="AB95" s="194" t="n">
        <x:f>IF(Y95=0,0,IF(X95&lt;&gt;"",1,IF(Z95=0,0,IF(P95="ATRASADO",2,IF(AND(M95="ATRASADO",L95=""),3,IF(V95="ESCALAR",4,IF(V95="REVISAR BACKLOG",5,0)))))))</x:f>
        <x:v>0</x:v>
      </x:c>
      <x:c r="AC95" s="194" t="str">
        <x:f>IF(AB95=0,"",COUNTIFS($AB$5:$AB$204,"&gt;0",$AB$5:$AB$204,"&lt;"&amp;AB95)+COUNTIFS($AB$5:AB95,AB95))</x:f>
      </x:c>
      <x:c r="AD95" s="194" t="n">
        <x:f>IF(AND(A95&lt;&gt;"",X95=""),1,0)</x:f>
        <x:v>0</x:v>
      </x:c>
      <x:c r="AE95" s="194" t="n">
        <x:f>IF(AND(Y95=1,X95&lt;&gt;""),1,0)</x:f>
        <x:v>0</x:v>
      </x:c>
      <x:c r="AF95" s="194" t="n">
        <x:f>IF(L95="",1,0)</x:f>
        <x:v>1</x:v>
      </x:c>
    </x:row>
    <x:row r="96">
      <x:c r="A96" s="28"/>
      <x:c r="B96" s="41"/>
      <x:c r="C96" s="28"/>
      <x:c r="D96" s="28"/>
      <x:c r="E96" s="28"/>
      <x:c r="F96" s="28"/>
      <x:c r="G96" s="28"/>
      <x:c r="H96" s="28"/>
      <x:c r="I96" s="28"/>
      <x:c r="J96" s="28"/>
      <x:c r="K96" s="54" t="str">
        <x:f>IF(OR(A96="",X96&lt;&gt;""),"",B96+INDEX(Listas!$B$6:$B$9,MATCH(H96,Listas!$A$6:$A$9,0))/24)</x:f>
      </x:c>
      <x:c r="L96" s="41"/>
      <x:c r="M96" s="55" t="str">
        <x:f>IF(A96="","",IF(X96&lt;&gt;"","DADO PENDENTE",IF(J96="Cancelado","N.A.",IF(L96&lt;&gt;"",IF(L96&lt;=K96,"ATENDIDO","ATRASADO"),IF(OR(J96="Fechado",J96="Resolvido"),"SEM EVIDÊNCIA",IF(Listas!$B$18&gt;K96,"ATRASADO","PENDENTE"))))))</x:f>
      </x:c>
      <x:c r="N96" s="54" t="str">
        <x:f>IF(OR(A96="",X96&lt;&gt;""),"",B96+INDEX(Listas!$C$6:$C$9,MATCH(H96,Listas!$A$6:$A$9,0))/24)</x:f>
      </x:c>
      <x:c r="O96" s="41"/>
      <x:c r="P96" s="55" t="str">
        <x:f>IF(A96="","",IF(X96&lt;&gt;"","DADO PENDENTE",IF(J96="Cancelado","N.A.",IF(OR(J96="Fechado",J96="Resolvido"),IF(O96&lt;=N96,"ATENDIDO","ATRASADO"),IF(Listas!$B$18&gt;N96,"ATRASADO","PENDENTE")))))</x:f>
      </x:c>
      <x:c r="Q96" s="56" t="str">
        <x:f>IF(OR(A96="",X96&lt;&gt;"",J96="Cancelado"),"",24*IF(OR(J96="Fechado",J96="Resolvido"),O96-B96,Listas!$B$18-B96))</x:f>
      </x:c>
      <x:c r="R96" s="57" t="str">
        <x:f>IF(OR(A96="",X96&lt;&gt;"",J96="Cancelado"),"",INT(IF(OR(J96="Fechado",J96="Resolvido"),O96-B96,Listas!$B$18-B96)))</x:f>
      </x:c>
      <x:c r="S96" s="58"/>
      <x:c r="T96" s="58"/>
      <x:c r="U96" s="57" t="str">
        <x:f>IF(OR(A96="",X96&lt;&gt;"",J96="Cancelado"),"",S96*T96)</x:f>
      </x:c>
      <x:c r="V96" s="55" t="str">
        <x:f>IF(A96="","",IF(X96&lt;&gt;"","CORRIGIR DADOS",IF(J96="Cancelado","CANCELADO",IF(OR(J96="Fechado",J96="Resolvido"),"CONCLUÍDO",IF(OR(P96="ATRASADO",U96&gt;=Listas!$B$16),"ESCALAR",IF(AND(M96="ATRASADO",L96=""),"RESPONDER AGORA",IF(R96&gt;=Listas!$B$14,"REVISAR BACKLOG","ACOMPANHAR")))))))</x:f>
      </x:c>
      <x:c r="W96" s="28"/>
      <x:c r="X96" s="194" t="str">
        <x:f>IF(COUNTA(A96:J96,L96,O96,S96:T96,W96)=0,"",IF(OR(NOT(ISNUMBER(Listas!$B$14)),Listas!$B$14&lt;0,NOT(ISNUMBER(Listas!$B$16)),Listas!$B$16&lt;1,COUNT(Listas!$B$6:$C$9)&lt;&gt;8,MIN(Listas!$B$6:$C$9)&lt;=0),"Parâmetros inválidos",IF(A96="","ID ausente",IF(COUNTIFS($A$5:$A$204,A96)&lt;&gt;1,"ID duplicado",IF(OR(NOT(ISNUMBER(B96)),B96&lt;=0),"Abertura inválida",IF(OR(NOT(ISNUMBER(Listas!$B$18)),Listas!$B$18&lt;=0),"Data da análise inválida",IF(B96&gt;Listas!$B$18,"Abertura após análise",IF(COUNTIFS(Listas!$A$6:$A$9,H96)&lt;&gt;1,"Prioridade inválida",IF(COUNTIFS(Equipe!$A$5:$A$12,I96)&lt;&gt;1,"Responsável inválido",IF(COUNTIFS(Listas!$E$6:$E$11,J96)&lt;&gt;1,"Status inválido",IF(AND(L96&lt;&gt;"",OR(NOT(ISNUMBER(L96)),L96&lt;B96,L96&gt;Listas!$B$18)),"Resposta inválida",IF(AND(O96&lt;&gt;"",OR(NOT(ISNUMBER(O96)),O96&lt;B96,O96&gt;Listas!$B$18)),"Resolução inválida",IF(AND(OR(J96="Fechado",J96="Resolvido"),O96=""),"Conclusão sem resolução",IF(OR(NOT(ISNUMBER(S96)),S96&lt;1,S96&gt;5,IF(ISNUMBER(S96),S96&lt;&gt;INT(S96),FALSE),NOT(ISNUMBER(T96)),T96&lt;1,T96&gt;5,IF(ISNUMBER(T96),T96&lt;&gt;INT(T96),FALSE)),"Impacto ou urgência inválido",""))))))))))))))</x:f>
      </x:c>
      <x:c r="Y96" s="194" t="n">
        <x:f>IF(AND(COUNTA(A96:J96,L96,O96,S96:T96,W96)&gt;0,OR(Listas!$B$20="Todos",I96=Listas!$B$20)),1,0)</x:f>
        <x:v>0</x:v>
      </x:c>
      <x:c r="Z96" s="194" t="n">
        <x:f>IF(AND(Y96=1,X96="",J96&lt;&gt;"Cancelado",NOT(OR(J96="Fechado",J96="Resolvido"))),1,0)</x:f>
        <x:v>0</x:v>
      </x:c>
      <x:c r="AA96" s="194" t="n">
        <x:f>IF(AND(Y96=1,X96="",OR(J96="Fechado",J96="Resolvido")),1,0)</x:f>
        <x:v>0</x:v>
      </x:c>
      <x:c r="AB96" s="194" t="n">
        <x:f>IF(Y96=0,0,IF(X96&lt;&gt;"",1,IF(Z96=0,0,IF(P96="ATRASADO",2,IF(AND(M96="ATRASADO",L96=""),3,IF(V96="ESCALAR",4,IF(V96="REVISAR BACKLOG",5,0)))))))</x:f>
        <x:v>0</x:v>
      </x:c>
      <x:c r="AC96" s="194" t="str">
        <x:f>IF(AB96=0,"",COUNTIFS($AB$5:$AB$204,"&gt;0",$AB$5:$AB$204,"&lt;"&amp;AB96)+COUNTIFS($AB$5:AB96,AB96))</x:f>
      </x:c>
      <x:c r="AD96" s="194" t="n">
        <x:f>IF(AND(A96&lt;&gt;"",X96=""),1,0)</x:f>
        <x:v>0</x:v>
      </x:c>
      <x:c r="AE96" s="194" t="n">
        <x:f>IF(AND(Y96=1,X96&lt;&gt;""),1,0)</x:f>
        <x:v>0</x:v>
      </x:c>
      <x:c r="AF96" s="194" t="n">
        <x:f>IF(L96="",1,0)</x:f>
        <x:v>1</x:v>
      </x:c>
    </x:row>
    <x:row r="97">
      <x:c r="A97" s="28"/>
      <x:c r="B97" s="41"/>
      <x:c r="C97" s="28"/>
      <x:c r="D97" s="28"/>
      <x:c r="E97" s="28"/>
      <x:c r="F97" s="28"/>
      <x:c r="G97" s="28"/>
      <x:c r="H97" s="28"/>
      <x:c r="I97" s="28"/>
      <x:c r="J97" s="28"/>
      <x:c r="K97" s="54" t="str">
        <x:f>IF(OR(A97="",X97&lt;&gt;""),"",B97+INDEX(Listas!$B$6:$B$9,MATCH(H97,Listas!$A$6:$A$9,0))/24)</x:f>
      </x:c>
      <x:c r="L97" s="41"/>
      <x:c r="M97" s="55" t="str">
        <x:f>IF(A97="","",IF(X97&lt;&gt;"","DADO PENDENTE",IF(J97="Cancelado","N.A.",IF(L97&lt;&gt;"",IF(L97&lt;=K97,"ATENDIDO","ATRASADO"),IF(OR(J97="Fechado",J97="Resolvido"),"SEM EVIDÊNCIA",IF(Listas!$B$18&gt;K97,"ATRASADO","PENDENTE"))))))</x:f>
      </x:c>
      <x:c r="N97" s="54" t="str">
        <x:f>IF(OR(A97="",X97&lt;&gt;""),"",B97+INDEX(Listas!$C$6:$C$9,MATCH(H97,Listas!$A$6:$A$9,0))/24)</x:f>
      </x:c>
      <x:c r="O97" s="41"/>
      <x:c r="P97" s="55" t="str">
        <x:f>IF(A97="","",IF(X97&lt;&gt;"","DADO PENDENTE",IF(J97="Cancelado","N.A.",IF(OR(J97="Fechado",J97="Resolvido"),IF(O97&lt;=N97,"ATENDIDO","ATRASADO"),IF(Listas!$B$18&gt;N97,"ATRASADO","PENDENTE")))))</x:f>
      </x:c>
      <x:c r="Q97" s="56" t="str">
        <x:f>IF(OR(A97="",X97&lt;&gt;"",J97="Cancelado"),"",24*IF(OR(J97="Fechado",J97="Resolvido"),O97-B97,Listas!$B$18-B97))</x:f>
      </x:c>
      <x:c r="R97" s="57" t="str">
        <x:f>IF(OR(A97="",X97&lt;&gt;"",J97="Cancelado"),"",INT(IF(OR(J97="Fechado",J97="Resolvido"),O97-B97,Listas!$B$18-B97)))</x:f>
      </x:c>
      <x:c r="S97" s="58"/>
      <x:c r="T97" s="58"/>
      <x:c r="U97" s="57" t="str">
        <x:f>IF(OR(A97="",X97&lt;&gt;"",J97="Cancelado"),"",S97*T97)</x:f>
      </x:c>
      <x:c r="V97" s="55" t="str">
        <x:f>IF(A97="","",IF(X97&lt;&gt;"","CORRIGIR DADOS",IF(J97="Cancelado","CANCELADO",IF(OR(J97="Fechado",J97="Resolvido"),"CONCLUÍDO",IF(OR(P97="ATRASADO",U97&gt;=Listas!$B$16),"ESCALAR",IF(AND(M97="ATRASADO",L97=""),"RESPONDER AGORA",IF(R97&gt;=Listas!$B$14,"REVISAR BACKLOG","ACOMPANHAR")))))))</x:f>
      </x:c>
      <x:c r="W97" s="28"/>
      <x:c r="X97" s="194" t="str">
        <x:f>IF(COUNTA(A97:J97,L97,O97,S97:T97,W97)=0,"",IF(OR(NOT(ISNUMBER(Listas!$B$14)),Listas!$B$14&lt;0,NOT(ISNUMBER(Listas!$B$16)),Listas!$B$16&lt;1,COUNT(Listas!$B$6:$C$9)&lt;&gt;8,MIN(Listas!$B$6:$C$9)&lt;=0),"Parâmetros inválidos",IF(A97="","ID ausente",IF(COUNTIFS($A$5:$A$204,A97)&lt;&gt;1,"ID duplicado",IF(OR(NOT(ISNUMBER(B97)),B97&lt;=0),"Abertura inválida",IF(OR(NOT(ISNUMBER(Listas!$B$18)),Listas!$B$18&lt;=0),"Data da análise inválida",IF(B97&gt;Listas!$B$18,"Abertura após análise",IF(COUNTIFS(Listas!$A$6:$A$9,H97)&lt;&gt;1,"Prioridade inválida",IF(COUNTIFS(Equipe!$A$5:$A$12,I97)&lt;&gt;1,"Responsável inválido",IF(COUNTIFS(Listas!$E$6:$E$11,J97)&lt;&gt;1,"Status inválido",IF(AND(L97&lt;&gt;"",OR(NOT(ISNUMBER(L97)),L97&lt;B97,L97&gt;Listas!$B$18)),"Resposta inválida",IF(AND(O97&lt;&gt;"",OR(NOT(ISNUMBER(O97)),O97&lt;B97,O97&gt;Listas!$B$18)),"Resolução inválida",IF(AND(OR(J97="Fechado",J97="Resolvido"),O97=""),"Conclusão sem resolução",IF(OR(NOT(ISNUMBER(S97)),S97&lt;1,S97&gt;5,IF(ISNUMBER(S97),S97&lt;&gt;INT(S97),FALSE),NOT(ISNUMBER(T97)),T97&lt;1,T97&gt;5,IF(ISNUMBER(T97),T97&lt;&gt;INT(T97),FALSE)),"Impacto ou urgência inválido",""))))))))))))))</x:f>
      </x:c>
      <x:c r="Y97" s="194" t="n">
        <x:f>IF(AND(COUNTA(A97:J97,L97,O97,S97:T97,W97)&gt;0,OR(Listas!$B$20="Todos",I97=Listas!$B$20)),1,0)</x:f>
        <x:v>0</x:v>
      </x:c>
      <x:c r="Z97" s="194" t="n">
        <x:f>IF(AND(Y97=1,X97="",J97&lt;&gt;"Cancelado",NOT(OR(J97="Fechado",J97="Resolvido"))),1,0)</x:f>
        <x:v>0</x:v>
      </x:c>
      <x:c r="AA97" s="194" t="n">
        <x:f>IF(AND(Y97=1,X97="",OR(J97="Fechado",J97="Resolvido")),1,0)</x:f>
        <x:v>0</x:v>
      </x:c>
      <x:c r="AB97" s="194" t="n">
        <x:f>IF(Y97=0,0,IF(X97&lt;&gt;"",1,IF(Z97=0,0,IF(P97="ATRASADO",2,IF(AND(M97="ATRASADO",L97=""),3,IF(V97="ESCALAR",4,IF(V97="REVISAR BACKLOG",5,0)))))))</x:f>
        <x:v>0</x:v>
      </x:c>
      <x:c r="AC97" s="194" t="str">
        <x:f>IF(AB97=0,"",COUNTIFS($AB$5:$AB$204,"&gt;0",$AB$5:$AB$204,"&lt;"&amp;AB97)+COUNTIFS($AB$5:AB97,AB97))</x:f>
      </x:c>
      <x:c r="AD97" s="194" t="n">
        <x:f>IF(AND(A97&lt;&gt;"",X97=""),1,0)</x:f>
        <x:v>0</x:v>
      </x:c>
      <x:c r="AE97" s="194" t="n">
        <x:f>IF(AND(Y97=1,X97&lt;&gt;""),1,0)</x:f>
        <x:v>0</x:v>
      </x:c>
      <x:c r="AF97" s="194" t="n">
        <x:f>IF(L97="",1,0)</x:f>
        <x:v>1</x:v>
      </x:c>
    </x:row>
    <x:row r="98">
      <x:c r="A98" s="28"/>
      <x:c r="B98" s="41"/>
      <x:c r="C98" s="28"/>
      <x:c r="D98" s="28"/>
      <x:c r="E98" s="28"/>
      <x:c r="F98" s="28"/>
      <x:c r="G98" s="28"/>
      <x:c r="H98" s="28"/>
      <x:c r="I98" s="28"/>
      <x:c r="J98" s="28"/>
      <x:c r="K98" s="54" t="str">
        <x:f>IF(OR(A98="",X98&lt;&gt;""),"",B98+INDEX(Listas!$B$6:$B$9,MATCH(H98,Listas!$A$6:$A$9,0))/24)</x:f>
      </x:c>
      <x:c r="L98" s="41"/>
      <x:c r="M98" s="55" t="str">
        <x:f>IF(A98="","",IF(X98&lt;&gt;"","DADO PENDENTE",IF(J98="Cancelado","N.A.",IF(L98&lt;&gt;"",IF(L98&lt;=K98,"ATENDIDO","ATRASADO"),IF(OR(J98="Fechado",J98="Resolvido"),"SEM EVIDÊNCIA",IF(Listas!$B$18&gt;K98,"ATRASADO","PENDENTE"))))))</x:f>
      </x:c>
      <x:c r="N98" s="54" t="str">
        <x:f>IF(OR(A98="",X98&lt;&gt;""),"",B98+INDEX(Listas!$C$6:$C$9,MATCH(H98,Listas!$A$6:$A$9,0))/24)</x:f>
      </x:c>
      <x:c r="O98" s="41"/>
      <x:c r="P98" s="55" t="str">
        <x:f>IF(A98="","",IF(X98&lt;&gt;"","DADO PENDENTE",IF(J98="Cancelado","N.A.",IF(OR(J98="Fechado",J98="Resolvido"),IF(O98&lt;=N98,"ATENDIDO","ATRASADO"),IF(Listas!$B$18&gt;N98,"ATRASADO","PENDENTE")))))</x:f>
      </x:c>
      <x:c r="Q98" s="56" t="str">
        <x:f>IF(OR(A98="",X98&lt;&gt;"",J98="Cancelado"),"",24*IF(OR(J98="Fechado",J98="Resolvido"),O98-B98,Listas!$B$18-B98))</x:f>
      </x:c>
      <x:c r="R98" s="57" t="str">
        <x:f>IF(OR(A98="",X98&lt;&gt;"",J98="Cancelado"),"",INT(IF(OR(J98="Fechado",J98="Resolvido"),O98-B98,Listas!$B$18-B98)))</x:f>
      </x:c>
      <x:c r="S98" s="58"/>
      <x:c r="T98" s="58"/>
      <x:c r="U98" s="57" t="str">
        <x:f>IF(OR(A98="",X98&lt;&gt;"",J98="Cancelado"),"",S98*T98)</x:f>
      </x:c>
      <x:c r="V98" s="55" t="str">
        <x:f>IF(A98="","",IF(X98&lt;&gt;"","CORRIGIR DADOS",IF(J98="Cancelado","CANCELADO",IF(OR(J98="Fechado",J98="Resolvido"),"CONCLUÍDO",IF(OR(P98="ATRASADO",U98&gt;=Listas!$B$16),"ESCALAR",IF(AND(M98="ATRASADO",L98=""),"RESPONDER AGORA",IF(R98&gt;=Listas!$B$14,"REVISAR BACKLOG","ACOMPANHAR")))))))</x:f>
      </x:c>
      <x:c r="W98" s="28"/>
      <x:c r="X98" s="194" t="str">
        <x:f>IF(COUNTA(A98:J98,L98,O98,S98:T98,W98)=0,"",IF(OR(NOT(ISNUMBER(Listas!$B$14)),Listas!$B$14&lt;0,NOT(ISNUMBER(Listas!$B$16)),Listas!$B$16&lt;1,COUNT(Listas!$B$6:$C$9)&lt;&gt;8,MIN(Listas!$B$6:$C$9)&lt;=0),"Parâmetros inválidos",IF(A98="","ID ausente",IF(COUNTIFS($A$5:$A$204,A98)&lt;&gt;1,"ID duplicado",IF(OR(NOT(ISNUMBER(B98)),B98&lt;=0),"Abertura inválida",IF(OR(NOT(ISNUMBER(Listas!$B$18)),Listas!$B$18&lt;=0),"Data da análise inválida",IF(B98&gt;Listas!$B$18,"Abertura após análise",IF(COUNTIFS(Listas!$A$6:$A$9,H98)&lt;&gt;1,"Prioridade inválida",IF(COUNTIFS(Equipe!$A$5:$A$12,I98)&lt;&gt;1,"Responsável inválido",IF(COUNTIFS(Listas!$E$6:$E$11,J98)&lt;&gt;1,"Status inválido",IF(AND(L98&lt;&gt;"",OR(NOT(ISNUMBER(L98)),L98&lt;B98,L98&gt;Listas!$B$18)),"Resposta inválida",IF(AND(O98&lt;&gt;"",OR(NOT(ISNUMBER(O98)),O98&lt;B98,O98&gt;Listas!$B$18)),"Resolução inválida",IF(AND(OR(J98="Fechado",J98="Resolvido"),O98=""),"Conclusão sem resolução",IF(OR(NOT(ISNUMBER(S98)),S98&lt;1,S98&gt;5,IF(ISNUMBER(S98),S98&lt;&gt;INT(S98),FALSE),NOT(ISNUMBER(T98)),T98&lt;1,T98&gt;5,IF(ISNUMBER(T98),T98&lt;&gt;INT(T98),FALSE)),"Impacto ou urgência inválido",""))))))))))))))</x:f>
      </x:c>
      <x:c r="Y98" s="194" t="n">
        <x:f>IF(AND(COUNTA(A98:J98,L98,O98,S98:T98,W98)&gt;0,OR(Listas!$B$20="Todos",I98=Listas!$B$20)),1,0)</x:f>
        <x:v>0</x:v>
      </x:c>
      <x:c r="Z98" s="194" t="n">
        <x:f>IF(AND(Y98=1,X98="",J98&lt;&gt;"Cancelado",NOT(OR(J98="Fechado",J98="Resolvido"))),1,0)</x:f>
        <x:v>0</x:v>
      </x:c>
      <x:c r="AA98" s="194" t="n">
        <x:f>IF(AND(Y98=1,X98="",OR(J98="Fechado",J98="Resolvido")),1,0)</x:f>
        <x:v>0</x:v>
      </x:c>
      <x:c r="AB98" s="194" t="n">
        <x:f>IF(Y98=0,0,IF(X98&lt;&gt;"",1,IF(Z98=0,0,IF(P98="ATRASADO",2,IF(AND(M98="ATRASADO",L98=""),3,IF(V98="ESCALAR",4,IF(V98="REVISAR BACKLOG",5,0)))))))</x:f>
        <x:v>0</x:v>
      </x:c>
      <x:c r="AC98" s="194" t="str">
        <x:f>IF(AB98=0,"",COUNTIFS($AB$5:$AB$204,"&gt;0",$AB$5:$AB$204,"&lt;"&amp;AB98)+COUNTIFS($AB$5:AB98,AB98))</x:f>
      </x:c>
      <x:c r="AD98" s="194" t="n">
        <x:f>IF(AND(A98&lt;&gt;"",X98=""),1,0)</x:f>
        <x:v>0</x:v>
      </x:c>
      <x:c r="AE98" s="194" t="n">
        <x:f>IF(AND(Y98=1,X98&lt;&gt;""),1,0)</x:f>
        <x:v>0</x:v>
      </x:c>
      <x:c r="AF98" s="194" t="n">
        <x:f>IF(L98="",1,0)</x:f>
        <x:v>1</x:v>
      </x:c>
    </x:row>
    <x:row r="99">
      <x:c r="A99" s="28"/>
      <x:c r="B99" s="41"/>
      <x:c r="C99" s="28"/>
      <x:c r="D99" s="28"/>
      <x:c r="E99" s="28"/>
      <x:c r="F99" s="28"/>
      <x:c r="G99" s="28"/>
      <x:c r="H99" s="28"/>
      <x:c r="I99" s="28"/>
      <x:c r="J99" s="28"/>
      <x:c r="K99" s="54" t="str">
        <x:f>IF(OR(A99="",X99&lt;&gt;""),"",B99+INDEX(Listas!$B$6:$B$9,MATCH(H99,Listas!$A$6:$A$9,0))/24)</x:f>
      </x:c>
      <x:c r="L99" s="41"/>
      <x:c r="M99" s="55" t="str">
        <x:f>IF(A99="","",IF(X99&lt;&gt;"","DADO PENDENTE",IF(J99="Cancelado","N.A.",IF(L99&lt;&gt;"",IF(L99&lt;=K99,"ATENDIDO","ATRASADO"),IF(OR(J99="Fechado",J99="Resolvido"),"SEM EVIDÊNCIA",IF(Listas!$B$18&gt;K99,"ATRASADO","PENDENTE"))))))</x:f>
      </x:c>
      <x:c r="N99" s="54" t="str">
        <x:f>IF(OR(A99="",X99&lt;&gt;""),"",B99+INDEX(Listas!$C$6:$C$9,MATCH(H99,Listas!$A$6:$A$9,0))/24)</x:f>
      </x:c>
      <x:c r="O99" s="41"/>
      <x:c r="P99" s="55" t="str">
        <x:f>IF(A99="","",IF(X99&lt;&gt;"","DADO PENDENTE",IF(J99="Cancelado","N.A.",IF(OR(J99="Fechado",J99="Resolvido"),IF(O99&lt;=N99,"ATENDIDO","ATRASADO"),IF(Listas!$B$18&gt;N99,"ATRASADO","PENDENTE")))))</x:f>
      </x:c>
      <x:c r="Q99" s="56" t="str">
        <x:f>IF(OR(A99="",X99&lt;&gt;"",J99="Cancelado"),"",24*IF(OR(J99="Fechado",J99="Resolvido"),O99-B99,Listas!$B$18-B99))</x:f>
      </x:c>
      <x:c r="R99" s="57" t="str">
        <x:f>IF(OR(A99="",X99&lt;&gt;"",J99="Cancelado"),"",INT(IF(OR(J99="Fechado",J99="Resolvido"),O99-B99,Listas!$B$18-B99)))</x:f>
      </x:c>
      <x:c r="S99" s="58"/>
      <x:c r="T99" s="58"/>
      <x:c r="U99" s="57" t="str">
        <x:f>IF(OR(A99="",X99&lt;&gt;"",J99="Cancelado"),"",S99*T99)</x:f>
      </x:c>
      <x:c r="V99" s="55" t="str">
        <x:f>IF(A99="","",IF(X99&lt;&gt;"","CORRIGIR DADOS",IF(J99="Cancelado","CANCELADO",IF(OR(J99="Fechado",J99="Resolvido"),"CONCLUÍDO",IF(OR(P99="ATRASADO",U99&gt;=Listas!$B$16),"ESCALAR",IF(AND(M99="ATRASADO",L99=""),"RESPONDER AGORA",IF(R99&gt;=Listas!$B$14,"REVISAR BACKLOG","ACOMPANHAR")))))))</x:f>
      </x:c>
      <x:c r="W99" s="28"/>
      <x:c r="X99" s="194" t="str">
        <x:f>IF(COUNTA(A99:J99,L99,O99,S99:T99,W99)=0,"",IF(OR(NOT(ISNUMBER(Listas!$B$14)),Listas!$B$14&lt;0,NOT(ISNUMBER(Listas!$B$16)),Listas!$B$16&lt;1,COUNT(Listas!$B$6:$C$9)&lt;&gt;8,MIN(Listas!$B$6:$C$9)&lt;=0),"Parâmetros inválidos",IF(A99="","ID ausente",IF(COUNTIFS($A$5:$A$204,A99)&lt;&gt;1,"ID duplicado",IF(OR(NOT(ISNUMBER(B99)),B99&lt;=0),"Abertura inválida",IF(OR(NOT(ISNUMBER(Listas!$B$18)),Listas!$B$18&lt;=0),"Data da análise inválida",IF(B99&gt;Listas!$B$18,"Abertura após análise",IF(COUNTIFS(Listas!$A$6:$A$9,H99)&lt;&gt;1,"Prioridade inválida",IF(COUNTIFS(Equipe!$A$5:$A$12,I99)&lt;&gt;1,"Responsável inválido",IF(COUNTIFS(Listas!$E$6:$E$11,J99)&lt;&gt;1,"Status inválido",IF(AND(L99&lt;&gt;"",OR(NOT(ISNUMBER(L99)),L99&lt;B99,L99&gt;Listas!$B$18)),"Resposta inválida",IF(AND(O99&lt;&gt;"",OR(NOT(ISNUMBER(O99)),O99&lt;B99,O99&gt;Listas!$B$18)),"Resolução inválida",IF(AND(OR(J99="Fechado",J99="Resolvido"),O99=""),"Conclusão sem resolução",IF(OR(NOT(ISNUMBER(S99)),S99&lt;1,S99&gt;5,IF(ISNUMBER(S99),S99&lt;&gt;INT(S99),FALSE),NOT(ISNUMBER(T99)),T99&lt;1,T99&gt;5,IF(ISNUMBER(T99),T99&lt;&gt;INT(T99),FALSE)),"Impacto ou urgência inválido",""))))))))))))))</x:f>
      </x:c>
      <x:c r="Y99" s="194" t="n">
        <x:f>IF(AND(COUNTA(A99:J99,L99,O99,S99:T99,W99)&gt;0,OR(Listas!$B$20="Todos",I99=Listas!$B$20)),1,0)</x:f>
        <x:v>0</x:v>
      </x:c>
      <x:c r="Z99" s="194" t="n">
        <x:f>IF(AND(Y99=1,X99="",J99&lt;&gt;"Cancelado",NOT(OR(J99="Fechado",J99="Resolvido"))),1,0)</x:f>
        <x:v>0</x:v>
      </x:c>
      <x:c r="AA99" s="194" t="n">
        <x:f>IF(AND(Y99=1,X99="",OR(J99="Fechado",J99="Resolvido")),1,0)</x:f>
        <x:v>0</x:v>
      </x:c>
      <x:c r="AB99" s="194" t="n">
        <x:f>IF(Y99=0,0,IF(X99&lt;&gt;"",1,IF(Z99=0,0,IF(P99="ATRASADO",2,IF(AND(M99="ATRASADO",L99=""),3,IF(V99="ESCALAR",4,IF(V99="REVISAR BACKLOG",5,0)))))))</x:f>
        <x:v>0</x:v>
      </x:c>
      <x:c r="AC99" s="194" t="str">
        <x:f>IF(AB99=0,"",COUNTIFS($AB$5:$AB$204,"&gt;0",$AB$5:$AB$204,"&lt;"&amp;AB99)+COUNTIFS($AB$5:AB99,AB99))</x:f>
      </x:c>
      <x:c r="AD99" s="194" t="n">
        <x:f>IF(AND(A99&lt;&gt;"",X99=""),1,0)</x:f>
        <x:v>0</x:v>
      </x:c>
      <x:c r="AE99" s="194" t="n">
        <x:f>IF(AND(Y99=1,X99&lt;&gt;""),1,0)</x:f>
        <x:v>0</x:v>
      </x:c>
      <x:c r="AF99" s="194" t="n">
        <x:f>IF(L99="",1,0)</x:f>
        <x:v>1</x:v>
      </x:c>
    </x:row>
    <x:row r="100">
      <x:c r="A100" s="28"/>
      <x:c r="B100" s="41"/>
      <x:c r="C100" s="28"/>
      <x:c r="D100" s="28"/>
      <x:c r="E100" s="28"/>
      <x:c r="F100" s="28"/>
      <x:c r="G100" s="28"/>
      <x:c r="H100" s="28"/>
      <x:c r="I100" s="28"/>
      <x:c r="J100" s="28"/>
      <x:c r="K100" s="54" t="str">
        <x:f>IF(OR(A100="",X100&lt;&gt;""),"",B100+INDEX(Listas!$B$6:$B$9,MATCH(H100,Listas!$A$6:$A$9,0))/24)</x:f>
      </x:c>
      <x:c r="L100" s="41"/>
      <x:c r="M100" s="55" t="str">
        <x:f>IF(A100="","",IF(X100&lt;&gt;"","DADO PENDENTE",IF(J100="Cancelado","N.A.",IF(L100&lt;&gt;"",IF(L100&lt;=K100,"ATENDIDO","ATRASADO"),IF(OR(J100="Fechado",J100="Resolvido"),"SEM EVIDÊNCIA",IF(Listas!$B$18&gt;K100,"ATRASADO","PENDENTE"))))))</x:f>
      </x:c>
      <x:c r="N100" s="54" t="str">
        <x:f>IF(OR(A100="",X100&lt;&gt;""),"",B100+INDEX(Listas!$C$6:$C$9,MATCH(H100,Listas!$A$6:$A$9,0))/24)</x:f>
      </x:c>
      <x:c r="O100" s="41"/>
      <x:c r="P100" s="55" t="str">
        <x:f>IF(A100="","",IF(X100&lt;&gt;"","DADO PENDENTE",IF(J100="Cancelado","N.A.",IF(OR(J100="Fechado",J100="Resolvido"),IF(O100&lt;=N100,"ATENDIDO","ATRASADO"),IF(Listas!$B$18&gt;N100,"ATRASADO","PENDENTE")))))</x:f>
      </x:c>
      <x:c r="Q100" s="56" t="str">
        <x:f>IF(OR(A100="",X100&lt;&gt;"",J100="Cancelado"),"",24*IF(OR(J100="Fechado",J100="Resolvido"),O100-B100,Listas!$B$18-B100))</x:f>
      </x:c>
      <x:c r="R100" s="57" t="str">
        <x:f>IF(OR(A100="",X100&lt;&gt;"",J100="Cancelado"),"",INT(IF(OR(J100="Fechado",J100="Resolvido"),O100-B100,Listas!$B$18-B100)))</x:f>
      </x:c>
      <x:c r="S100" s="58"/>
      <x:c r="T100" s="58"/>
      <x:c r="U100" s="57" t="str">
        <x:f>IF(OR(A100="",X100&lt;&gt;"",J100="Cancelado"),"",S100*T100)</x:f>
      </x:c>
      <x:c r="V100" s="55" t="str">
        <x:f>IF(A100="","",IF(X100&lt;&gt;"","CORRIGIR DADOS",IF(J100="Cancelado","CANCELADO",IF(OR(J100="Fechado",J100="Resolvido"),"CONCLUÍDO",IF(OR(P100="ATRASADO",U100&gt;=Listas!$B$16),"ESCALAR",IF(AND(M100="ATRASADO",L100=""),"RESPONDER AGORA",IF(R100&gt;=Listas!$B$14,"REVISAR BACKLOG","ACOMPANHAR")))))))</x:f>
      </x:c>
      <x:c r="W100" s="28"/>
      <x:c r="X100" s="194" t="str">
        <x:f>IF(COUNTA(A100:J100,L100,O100,S100:T100,W100)=0,"",IF(OR(NOT(ISNUMBER(Listas!$B$14)),Listas!$B$14&lt;0,NOT(ISNUMBER(Listas!$B$16)),Listas!$B$16&lt;1,COUNT(Listas!$B$6:$C$9)&lt;&gt;8,MIN(Listas!$B$6:$C$9)&lt;=0),"Parâmetros inválidos",IF(A100="","ID ausente",IF(COUNTIFS($A$5:$A$204,A100)&lt;&gt;1,"ID duplicado",IF(OR(NOT(ISNUMBER(B100)),B100&lt;=0),"Abertura inválida",IF(OR(NOT(ISNUMBER(Listas!$B$18)),Listas!$B$18&lt;=0),"Data da análise inválida",IF(B100&gt;Listas!$B$18,"Abertura após análise",IF(COUNTIFS(Listas!$A$6:$A$9,H100)&lt;&gt;1,"Prioridade inválida",IF(COUNTIFS(Equipe!$A$5:$A$12,I100)&lt;&gt;1,"Responsável inválido",IF(COUNTIFS(Listas!$E$6:$E$11,J100)&lt;&gt;1,"Status inválido",IF(AND(L100&lt;&gt;"",OR(NOT(ISNUMBER(L100)),L100&lt;B100,L100&gt;Listas!$B$18)),"Resposta inválida",IF(AND(O100&lt;&gt;"",OR(NOT(ISNUMBER(O100)),O100&lt;B100,O100&gt;Listas!$B$18)),"Resolução inválida",IF(AND(OR(J100="Fechado",J100="Resolvido"),O100=""),"Conclusão sem resolução",IF(OR(NOT(ISNUMBER(S100)),S100&lt;1,S100&gt;5,IF(ISNUMBER(S100),S100&lt;&gt;INT(S100),FALSE),NOT(ISNUMBER(T100)),T100&lt;1,T100&gt;5,IF(ISNUMBER(T100),T100&lt;&gt;INT(T100),FALSE)),"Impacto ou urgência inválido",""))))))))))))))</x:f>
      </x:c>
      <x:c r="Y100" s="194" t="n">
        <x:f>IF(AND(COUNTA(A100:J100,L100,O100,S100:T100,W100)&gt;0,OR(Listas!$B$20="Todos",I100=Listas!$B$20)),1,0)</x:f>
        <x:v>0</x:v>
      </x:c>
      <x:c r="Z100" s="194" t="n">
        <x:f>IF(AND(Y100=1,X100="",J100&lt;&gt;"Cancelado",NOT(OR(J100="Fechado",J100="Resolvido"))),1,0)</x:f>
        <x:v>0</x:v>
      </x:c>
      <x:c r="AA100" s="194" t="n">
        <x:f>IF(AND(Y100=1,X100="",OR(J100="Fechado",J100="Resolvido")),1,0)</x:f>
        <x:v>0</x:v>
      </x:c>
      <x:c r="AB100" s="194" t="n">
        <x:f>IF(Y100=0,0,IF(X100&lt;&gt;"",1,IF(Z100=0,0,IF(P100="ATRASADO",2,IF(AND(M100="ATRASADO",L100=""),3,IF(V100="ESCALAR",4,IF(V100="REVISAR BACKLOG",5,0)))))))</x:f>
        <x:v>0</x:v>
      </x:c>
      <x:c r="AC100" s="194" t="str">
        <x:f>IF(AB100=0,"",COUNTIFS($AB$5:$AB$204,"&gt;0",$AB$5:$AB$204,"&lt;"&amp;AB100)+COUNTIFS($AB$5:AB100,AB100))</x:f>
      </x:c>
      <x:c r="AD100" s="194" t="n">
        <x:f>IF(AND(A100&lt;&gt;"",X100=""),1,0)</x:f>
        <x:v>0</x:v>
      </x:c>
      <x:c r="AE100" s="194" t="n">
        <x:f>IF(AND(Y100=1,X100&lt;&gt;""),1,0)</x:f>
        <x:v>0</x:v>
      </x:c>
      <x:c r="AF100" s="194" t="n">
        <x:f>IF(L100="",1,0)</x:f>
        <x:v>1</x:v>
      </x:c>
    </x:row>
    <x:row r="101">
      <x:c r="A101" s="28"/>
      <x:c r="B101" s="41"/>
      <x:c r="C101" s="28"/>
      <x:c r="D101" s="28"/>
      <x:c r="E101" s="28"/>
      <x:c r="F101" s="28"/>
      <x:c r="G101" s="28"/>
      <x:c r="H101" s="28"/>
      <x:c r="I101" s="28"/>
      <x:c r="J101" s="28"/>
      <x:c r="K101" s="54" t="str">
        <x:f>IF(OR(A101="",X101&lt;&gt;""),"",B101+INDEX(Listas!$B$6:$B$9,MATCH(H101,Listas!$A$6:$A$9,0))/24)</x:f>
      </x:c>
      <x:c r="L101" s="41"/>
      <x:c r="M101" s="55" t="str">
        <x:f>IF(A101="","",IF(X101&lt;&gt;"","DADO PENDENTE",IF(J101="Cancelado","N.A.",IF(L101&lt;&gt;"",IF(L101&lt;=K101,"ATENDIDO","ATRASADO"),IF(OR(J101="Fechado",J101="Resolvido"),"SEM EVIDÊNCIA",IF(Listas!$B$18&gt;K101,"ATRASADO","PENDENTE"))))))</x:f>
      </x:c>
      <x:c r="N101" s="54" t="str">
        <x:f>IF(OR(A101="",X101&lt;&gt;""),"",B101+INDEX(Listas!$C$6:$C$9,MATCH(H101,Listas!$A$6:$A$9,0))/24)</x:f>
      </x:c>
      <x:c r="O101" s="41"/>
      <x:c r="P101" s="55" t="str">
        <x:f>IF(A101="","",IF(X101&lt;&gt;"","DADO PENDENTE",IF(J101="Cancelado","N.A.",IF(OR(J101="Fechado",J101="Resolvido"),IF(O101&lt;=N101,"ATENDIDO","ATRASADO"),IF(Listas!$B$18&gt;N101,"ATRASADO","PENDENTE")))))</x:f>
      </x:c>
      <x:c r="Q101" s="56" t="str">
        <x:f>IF(OR(A101="",X101&lt;&gt;"",J101="Cancelado"),"",24*IF(OR(J101="Fechado",J101="Resolvido"),O101-B101,Listas!$B$18-B101))</x:f>
      </x:c>
      <x:c r="R101" s="57" t="str">
        <x:f>IF(OR(A101="",X101&lt;&gt;"",J101="Cancelado"),"",INT(IF(OR(J101="Fechado",J101="Resolvido"),O101-B101,Listas!$B$18-B101)))</x:f>
      </x:c>
      <x:c r="S101" s="58"/>
      <x:c r="T101" s="58"/>
      <x:c r="U101" s="57" t="str">
        <x:f>IF(OR(A101="",X101&lt;&gt;"",J101="Cancelado"),"",S101*T101)</x:f>
      </x:c>
      <x:c r="V101" s="55" t="str">
        <x:f>IF(A101="","",IF(X101&lt;&gt;"","CORRIGIR DADOS",IF(J101="Cancelado","CANCELADO",IF(OR(J101="Fechado",J101="Resolvido"),"CONCLUÍDO",IF(OR(P101="ATRASADO",U101&gt;=Listas!$B$16),"ESCALAR",IF(AND(M101="ATRASADO",L101=""),"RESPONDER AGORA",IF(R101&gt;=Listas!$B$14,"REVISAR BACKLOG","ACOMPANHAR")))))))</x:f>
      </x:c>
      <x:c r="W101" s="28"/>
      <x:c r="X101" s="194" t="str">
        <x:f>IF(COUNTA(A101:J101,L101,O101,S101:T101,W101)=0,"",IF(OR(NOT(ISNUMBER(Listas!$B$14)),Listas!$B$14&lt;0,NOT(ISNUMBER(Listas!$B$16)),Listas!$B$16&lt;1,COUNT(Listas!$B$6:$C$9)&lt;&gt;8,MIN(Listas!$B$6:$C$9)&lt;=0),"Parâmetros inválidos",IF(A101="","ID ausente",IF(COUNTIFS($A$5:$A$204,A101)&lt;&gt;1,"ID duplicado",IF(OR(NOT(ISNUMBER(B101)),B101&lt;=0),"Abertura inválida",IF(OR(NOT(ISNUMBER(Listas!$B$18)),Listas!$B$18&lt;=0),"Data da análise inválida",IF(B101&gt;Listas!$B$18,"Abertura após análise",IF(COUNTIFS(Listas!$A$6:$A$9,H101)&lt;&gt;1,"Prioridade inválida",IF(COUNTIFS(Equipe!$A$5:$A$12,I101)&lt;&gt;1,"Responsável inválido",IF(COUNTIFS(Listas!$E$6:$E$11,J101)&lt;&gt;1,"Status inválido",IF(AND(L101&lt;&gt;"",OR(NOT(ISNUMBER(L101)),L101&lt;B101,L101&gt;Listas!$B$18)),"Resposta inválida",IF(AND(O101&lt;&gt;"",OR(NOT(ISNUMBER(O101)),O101&lt;B101,O101&gt;Listas!$B$18)),"Resolução inválida",IF(AND(OR(J101="Fechado",J101="Resolvido"),O101=""),"Conclusão sem resolução",IF(OR(NOT(ISNUMBER(S101)),S101&lt;1,S101&gt;5,IF(ISNUMBER(S101),S101&lt;&gt;INT(S101),FALSE),NOT(ISNUMBER(T101)),T101&lt;1,T101&gt;5,IF(ISNUMBER(T101),T101&lt;&gt;INT(T101),FALSE)),"Impacto ou urgência inválido",""))))))))))))))</x:f>
      </x:c>
      <x:c r="Y101" s="194" t="n">
        <x:f>IF(AND(COUNTA(A101:J101,L101,O101,S101:T101,W101)&gt;0,OR(Listas!$B$20="Todos",I101=Listas!$B$20)),1,0)</x:f>
        <x:v>0</x:v>
      </x:c>
      <x:c r="Z101" s="194" t="n">
        <x:f>IF(AND(Y101=1,X101="",J101&lt;&gt;"Cancelado",NOT(OR(J101="Fechado",J101="Resolvido"))),1,0)</x:f>
        <x:v>0</x:v>
      </x:c>
      <x:c r="AA101" s="194" t="n">
        <x:f>IF(AND(Y101=1,X101="",OR(J101="Fechado",J101="Resolvido")),1,0)</x:f>
        <x:v>0</x:v>
      </x:c>
      <x:c r="AB101" s="194" t="n">
        <x:f>IF(Y101=0,0,IF(X101&lt;&gt;"",1,IF(Z101=0,0,IF(P101="ATRASADO",2,IF(AND(M101="ATRASADO",L101=""),3,IF(V101="ESCALAR",4,IF(V101="REVISAR BACKLOG",5,0)))))))</x:f>
        <x:v>0</x:v>
      </x:c>
      <x:c r="AC101" s="194" t="str">
        <x:f>IF(AB101=0,"",COUNTIFS($AB$5:$AB$204,"&gt;0",$AB$5:$AB$204,"&lt;"&amp;AB101)+COUNTIFS($AB$5:AB101,AB101))</x:f>
      </x:c>
      <x:c r="AD101" s="194" t="n">
        <x:f>IF(AND(A101&lt;&gt;"",X101=""),1,0)</x:f>
        <x:v>0</x:v>
      </x:c>
      <x:c r="AE101" s="194" t="n">
        <x:f>IF(AND(Y101=1,X101&lt;&gt;""),1,0)</x:f>
        <x:v>0</x:v>
      </x:c>
      <x:c r="AF101" s="194" t="n">
        <x:f>IF(L101="",1,0)</x:f>
        <x:v>1</x:v>
      </x:c>
    </x:row>
    <x:row r="102">
      <x:c r="A102" s="28"/>
      <x:c r="B102" s="41"/>
      <x:c r="C102" s="28"/>
      <x:c r="D102" s="28"/>
      <x:c r="E102" s="28"/>
      <x:c r="F102" s="28"/>
      <x:c r="G102" s="28"/>
      <x:c r="H102" s="28"/>
      <x:c r="I102" s="28"/>
      <x:c r="J102" s="28"/>
      <x:c r="K102" s="54" t="str">
        <x:f>IF(OR(A102="",X102&lt;&gt;""),"",B102+INDEX(Listas!$B$6:$B$9,MATCH(H102,Listas!$A$6:$A$9,0))/24)</x:f>
      </x:c>
      <x:c r="L102" s="41"/>
      <x:c r="M102" s="55" t="str">
        <x:f>IF(A102="","",IF(X102&lt;&gt;"","DADO PENDENTE",IF(J102="Cancelado","N.A.",IF(L102&lt;&gt;"",IF(L102&lt;=K102,"ATENDIDO","ATRASADO"),IF(OR(J102="Fechado",J102="Resolvido"),"SEM EVIDÊNCIA",IF(Listas!$B$18&gt;K102,"ATRASADO","PENDENTE"))))))</x:f>
      </x:c>
      <x:c r="N102" s="54" t="str">
        <x:f>IF(OR(A102="",X102&lt;&gt;""),"",B102+INDEX(Listas!$C$6:$C$9,MATCH(H102,Listas!$A$6:$A$9,0))/24)</x:f>
      </x:c>
      <x:c r="O102" s="41"/>
      <x:c r="P102" s="55" t="str">
        <x:f>IF(A102="","",IF(X102&lt;&gt;"","DADO PENDENTE",IF(J102="Cancelado","N.A.",IF(OR(J102="Fechado",J102="Resolvido"),IF(O102&lt;=N102,"ATENDIDO","ATRASADO"),IF(Listas!$B$18&gt;N102,"ATRASADO","PENDENTE")))))</x:f>
      </x:c>
      <x:c r="Q102" s="56" t="str">
        <x:f>IF(OR(A102="",X102&lt;&gt;"",J102="Cancelado"),"",24*IF(OR(J102="Fechado",J102="Resolvido"),O102-B102,Listas!$B$18-B102))</x:f>
      </x:c>
      <x:c r="R102" s="57" t="str">
        <x:f>IF(OR(A102="",X102&lt;&gt;"",J102="Cancelado"),"",INT(IF(OR(J102="Fechado",J102="Resolvido"),O102-B102,Listas!$B$18-B102)))</x:f>
      </x:c>
      <x:c r="S102" s="58"/>
      <x:c r="T102" s="58"/>
      <x:c r="U102" s="57" t="str">
        <x:f>IF(OR(A102="",X102&lt;&gt;"",J102="Cancelado"),"",S102*T102)</x:f>
      </x:c>
      <x:c r="V102" s="55" t="str">
        <x:f>IF(A102="","",IF(X102&lt;&gt;"","CORRIGIR DADOS",IF(J102="Cancelado","CANCELADO",IF(OR(J102="Fechado",J102="Resolvido"),"CONCLUÍDO",IF(OR(P102="ATRASADO",U102&gt;=Listas!$B$16),"ESCALAR",IF(AND(M102="ATRASADO",L102=""),"RESPONDER AGORA",IF(R102&gt;=Listas!$B$14,"REVISAR BACKLOG","ACOMPANHAR")))))))</x:f>
      </x:c>
      <x:c r="W102" s="28"/>
      <x:c r="X102" s="194" t="str">
        <x:f>IF(COUNTA(A102:J102,L102,O102,S102:T102,W102)=0,"",IF(OR(NOT(ISNUMBER(Listas!$B$14)),Listas!$B$14&lt;0,NOT(ISNUMBER(Listas!$B$16)),Listas!$B$16&lt;1,COUNT(Listas!$B$6:$C$9)&lt;&gt;8,MIN(Listas!$B$6:$C$9)&lt;=0),"Parâmetros inválidos",IF(A102="","ID ausente",IF(COUNTIFS($A$5:$A$204,A102)&lt;&gt;1,"ID duplicado",IF(OR(NOT(ISNUMBER(B102)),B102&lt;=0),"Abertura inválida",IF(OR(NOT(ISNUMBER(Listas!$B$18)),Listas!$B$18&lt;=0),"Data da análise inválida",IF(B102&gt;Listas!$B$18,"Abertura após análise",IF(COUNTIFS(Listas!$A$6:$A$9,H102)&lt;&gt;1,"Prioridade inválida",IF(COUNTIFS(Equipe!$A$5:$A$12,I102)&lt;&gt;1,"Responsável inválido",IF(COUNTIFS(Listas!$E$6:$E$11,J102)&lt;&gt;1,"Status inválido",IF(AND(L102&lt;&gt;"",OR(NOT(ISNUMBER(L102)),L102&lt;B102,L102&gt;Listas!$B$18)),"Resposta inválida",IF(AND(O102&lt;&gt;"",OR(NOT(ISNUMBER(O102)),O102&lt;B102,O102&gt;Listas!$B$18)),"Resolução inválida",IF(AND(OR(J102="Fechado",J102="Resolvido"),O102=""),"Conclusão sem resolução",IF(OR(NOT(ISNUMBER(S102)),S102&lt;1,S102&gt;5,IF(ISNUMBER(S102),S102&lt;&gt;INT(S102),FALSE),NOT(ISNUMBER(T102)),T102&lt;1,T102&gt;5,IF(ISNUMBER(T102),T102&lt;&gt;INT(T102),FALSE)),"Impacto ou urgência inválido",""))))))))))))))</x:f>
      </x:c>
      <x:c r="Y102" s="194" t="n">
        <x:f>IF(AND(COUNTA(A102:J102,L102,O102,S102:T102,W102)&gt;0,OR(Listas!$B$20="Todos",I102=Listas!$B$20)),1,0)</x:f>
        <x:v>0</x:v>
      </x:c>
      <x:c r="Z102" s="194" t="n">
        <x:f>IF(AND(Y102=1,X102="",J102&lt;&gt;"Cancelado",NOT(OR(J102="Fechado",J102="Resolvido"))),1,0)</x:f>
        <x:v>0</x:v>
      </x:c>
      <x:c r="AA102" s="194" t="n">
        <x:f>IF(AND(Y102=1,X102="",OR(J102="Fechado",J102="Resolvido")),1,0)</x:f>
        <x:v>0</x:v>
      </x:c>
      <x:c r="AB102" s="194" t="n">
        <x:f>IF(Y102=0,0,IF(X102&lt;&gt;"",1,IF(Z102=0,0,IF(P102="ATRASADO",2,IF(AND(M102="ATRASADO",L102=""),3,IF(V102="ESCALAR",4,IF(V102="REVISAR BACKLOG",5,0)))))))</x:f>
        <x:v>0</x:v>
      </x:c>
      <x:c r="AC102" s="194" t="str">
        <x:f>IF(AB102=0,"",COUNTIFS($AB$5:$AB$204,"&gt;0",$AB$5:$AB$204,"&lt;"&amp;AB102)+COUNTIFS($AB$5:AB102,AB102))</x:f>
      </x:c>
      <x:c r="AD102" s="194" t="n">
        <x:f>IF(AND(A102&lt;&gt;"",X102=""),1,0)</x:f>
        <x:v>0</x:v>
      </x:c>
      <x:c r="AE102" s="194" t="n">
        <x:f>IF(AND(Y102=1,X102&lt;&gt;""),1,0)</x:f>
        <x:v>0</x:v>
      </x:c>
      <x:c r="AF102" s="194" t="n">
        <x:f>IF(L102="",1,0)</x:f>
        <x:v>1</x:v>
      </x:c>
    </x:row>
    <x:row r="103">
      <x:c r="A103" s="28"/>
      <x:c r="B103" s="41"/>
      <x:c r="C103" s="28"/>
      <x:c r="D103" s="28"/>
      <x:c r="E103" s="28"/>
      <x:c r="F103" s="28"/>
      <x:c r="G103" s="28"/>
      <x:c r="H103" s="28"/>
      <x:c r="I103" s="28"/>
      <x:c r="J103" s="28"/>
      <x:c r="K103" s="54" t="str">
        <x:f>IF(OR(A103="",X103&lt;&gt;""),"",B103+INDEX(Listas!$B$6:$B$9,MATCH(H103,Listas!$A$6:$A$9,0))/24)</x:f>
      </x:c>
      <x:c r="L103" s="41"/>
      <x:c r="M103" s="55" t="str">
        <x:f>IF(A103="","",IF(X103&lt;&gt;"","DADO PENDENTE",IF(J103="Cancelado","N.A.",IF(L103&lt;&gt;"",IF(L103&lt;=K103,"ATENDIDO","ATRASADO"),IF(OR(J103="Fechado",J103="Resolvido"),"SEM EVIDÊNCIA",IF(Listas!$B$18&gt;K103,"ATRASADO","PENDENTE"))))))</x:f>
      </x:c>
      <x:c r="N103" s="54" t="str">
        <x:f>IF(OR(A103="",X103&lt;&gt;""),"",B103+INDEX(Listas!$C$6:$C$9,MATCH(H103,Listas!$A$6:$A$9,0))/24)</x:f>
      </x:c>
      <x:c r="O103" s="41"/>
      <x:c r="P103" s="55" t="str">
        <x:f>IF(A103="","",IF(X103&lt;&gt;"","DADO PENDENTE",IF(J103="Cancelado","N.A.",IF(OR(J103="Fechado",J103="Resolvido"),IF(O103&lt;=N103,"ATENDIDO","ATRASADO"),IF(Listas!$B$18&gt;N103,"ATRASADO","PENDENTE")))))</x:f>
      </x:c>
      <x:c r="Q103" s="56" t="str">
        <x:f>IF(OR(A103="",X103&lt;&gt;"",J103="Cancelado"),"",24*IF(OR(J103="Fechado",J103="Resolvido"),O103-B103,Listas!$B$18-B103))</x:f>
      </x:c>
      <x:c r="R103" s="57" t="str">
        <x:f>IF(OR(A103="",X103&lt;&gt;"",J103="Cancelado"),"",INT(IF(OR(J103="Fechado",J103="Resolvido"),O103-B103,Listas!$B$18-B103)))</x:f>
      </x:c>
      <x:c r="S103" s="58"/>
      <x:c r="T103" s="58"/>
      <x:c r="U103" s="57" t="str">
        <x:f>IF(OR(A103="",X103&lt;&gt;"",J103="Cancelado"),"",S103*T103)</x:f>
      </x:c>
      <x:c r="V103" s="55" t="str">
        <x:f>IF(A103="","",IF(X103&lt;&gt;"","CORRIGIR DADOS",IF(J103="Cancelado","CANCELADO",IF(OR(J103="Fechado",J103="Resolvido"),"CONCLUÍDO",IF(OR(P103="ATRASADO",U103&gt;=Listas!$B$16),"ESCALAR",IF(AND(M103="ATRASADO",L103=""),"RESPONDER AGORA",IF(R103&gt;=Listas!$B$14,"REVISAR BACKLOG","ACOMPANHAR")))))))</x:f>
      </x:c>
      <x:c r="W103" s="28"/>
      <x:c r="X103" s="194" t="str">
        <x:f>IF(COUNTA(A103:J103,L103,O103,S103:T103,W103)=0,"",IF(OR(NOT(ISNUMBER(Listas!$B$14)),Listas!$B$14&lt;0,NOT(ISNUMBER(Listas!$B$16)),Listas!$B$16&lt;1,COUNT(Listas!$B$6:$C$9)&lt;&gt;8,MIN(Listas!$B$6:$C$9)&lt;=0),"Parâmetros inválidos",IF(A103="","ID ausente",IF(COUNTIFS($A$5:$A$204,A103)&lt;&gt;1,"ID duplicado",IF(OR(NOT(ISNUMBER(B103)),B103&lt;=0),"Abertura inválida",IF(OR(NOT(ISNUMBER(Listas!$B$18)),Listas!$B$18&lt;=0),"Data da análise inválida",IF(B103&gt;Listas!$B$18,"Abertura após análise",IF(COUNTIFS(Listas!$A$6:$A$9,H103)&lt;&gt;1,"Prioridade inválida",IF(COUNTIFS(Equipe!$A$5:$A$12,I103)&lt;&gt;1,"Responsável inválido",IF(COUNTIFS(Listas!$E$6:$E$11,J103)&lt;&gt;1,"Status inválido",IF(AND(L103&lt;&gt;"",OR(NOT(ISNUMBER(L103)),L103&lt;B103,L103&gt;Listas!$B$18)),"Resposta inválida",IF(AND(O103&lt;&gt;"",OR(NOT(ISNUMBER(O103)),O103&lt;B103,O103&gt;Listas!$B$18)),"Resolução inválida",IF(AND(OR(J103="Fechado",J103="Resolvido"),O103=""),"Conclusão sem resolução",IF(OR(NOT(ISNUMBER(S103)),S103&lt;1,S103&gt;5,IF(ISNUMBER(S103),S103&lt;&gt;INT(S103),FALSE),NOT(ISNUMBER(T103)),T103&lt;1,T103&gt;5,IF(ISNUMBER(T103),T103&lt;&gt;INT(T103),FALSE)),"Impacto ou urgência inválido",""))))))))))))))</x:f>
      </x:c>
      <x:c r="Y103" s="194" t="n">
        <x:f>IF(AND(COUNTA(A103:J103,L103,O103,S103:T103,W103)&gt;0,OR(Listas!$B$20="Todos",I103=Listas!$B$20)),1,0)</x:f>
        <x:v>0</x:v>
      </x:c>
      <x:c r="Z103" s="194" t="n">
        <x:f>IF(AND(Y103=1,X103="",J103&lt;&gt;"Cancelado",NOT(OR(J103="Fechado",J103="Resolvido"))),1,0)</x:f>
        <x:v>0</x:v>
      </x:c>
      <x:c r="AA103" s="194" t="n">
        <x:f>IF(AND(Y103=1,X103="",OR(J103="Fechado",J103="Resolvido")),1,0)</x:f>
        <x:v>0</x:v>
      </x:c>
      <x:c r="AB103" s="194" t="n">
        <x:f>IF(Y103=0,0,IF(X103&lt;&gt;"",1,IF(Z103=0,0,IF(P103="ATRASADO",2,IF(AND(M103="ATRASADO",L103=""),3,IF(V103="ESCALAR",4,IF(V103="REVISAR BACKLOG",5,0)))))))</x:f>
        <x:v>0</x:v>
      </x:c>
      <x:c r="AC103" s="194" t="str">
        <x:f>IF(AB103=0,"",COUNTIFS($AB$5:$AB$204,"&gt;0",$AB$5:$AB$204,"&lt;"&amp;AB103)+COUNTIFS($AB$5:AB103,AB103))</x:f>
      </x:c>
      <x:c r="AD103" s="194" t="n">
        <x:f>IF(AND(A103&lt;&gt;"",X103=""),1,0)</x:f>
        <x:v>0</x:v>
      </x:c>
      <x:c r="AE103" s="194" t="n">
        <x:f>IF(AND(Y103=1,X103&lt;&gt;""),1,0)</x:f>
        <x:v>0</x:v>
      </x:c>
      <x:c r="AF103" s="194" t="n">
        <x:f>IF(L103="",1,0)</x:f>
        <x:v>1</x:v>
      </x:c>
    </x:row>
    <x:row r="104">
      <x:c r="A104" s="28"/>
      <x:c r="B104" s="41"/>
      <x:c r="C104" s="28"/>
      <x:c r="D104" s="28"/>
      <x:c r="E104" s="28"/>
      <x:c r="F104" s="28"/>
      <x:c r="G104" s="28"/>
      <x:c r="H104" s="28"/>
      <x:c r="I104" s="28"/>
      <x:c r="J104" s="28"/>
      <x:c r="K104" s="54" t="str">
        <x:f>IF(OR(A104="",X104&lt;&gt;""),"",B104+INDEX(Listas!$B$6:$B$9,MATCH(H104,Listas!$A$6:$A$9,0))/24)</x:f>
      </x:c>
      <x:c r="L104" s="41"/>
      <x:c r="M104" s="55" t="str">
        <x:f>IF(A104="","",IF(X104&lt;&gt;"","DADO PENDENTE",IF(J104="Cancelado","N.A.",IF(L104&lt;&gt;"",IF(L104&lt;=K104,"ATENDIDO","ATRASADO"),IF(OR(J104="Fechado",J104="Resolvido"),"SEM EVIDÊNCIA",IF(Listas!$B$18&gt;K104,"ATRASADO","PENDENTE"))))))</x:f>
      </x:c>
      <x:c r="N104" s="54" t="str">
        <x:f>IF(OR(A104="",X104&lt;&gt;""),"",B104+INDEX(Listas!$C$6:$C$9,MATCH(H104,Listas!$A$6:$A$9,0))/24)</x:f>
      </x:c>
      <x:c r="O104" s="41"/>
      <x:c r="P104" s="55" t="str">
        <x:f>IF(A104="","",IF(X104&lt;&gt;"","DADO PENDENTE",IF(J104="Cancelado","N.A.",IF(OR(J104="Fechado",J104="Resolvido"),IF(O104&lt;=N104,"ATENDIDO","ATRASADO"),IF(Listas!$B$18&gt;N104,"ATRASADO","PENDENTE")))))</x:f>
      </x:c>
      <x:c r="Q104" s="56" t="str">
        <x:f>IF(OR(A104="",X104&lt;&gt;"",J104="Cancelado"),"",24*IF(OR(J104="Fechado",J104="Resolvido"),O104-B104,Listas!$B$18-B104))</x:f>
      </x:c>
      <x:c r="R104" s="57" t="str">
        <x:f>IF(OR(A104="",X104&lt;&gt;"",J104="Cancelado"),"",INT(IF(OR(J104="Fechado",J104="Resolvido"),O104-B104,Listas!$B$18-B104)))</x:f>
      </x:c>
      <x:c r="S104" s="58"/>
      <x:c r="T104" s="58"/>
      <x:c r="U104" s="57" t="str">
        <x:f>IF(OR(A104="",X104&lt;&gt;"",J104="Cancelado"),"",S104*T104)</x:f>
      </x:c>
      <x:c r="V104" s="55" t="str">
        <x:f>IF(A104="","",IF(X104&lt;&gt;"","CORRIGIR DADOS",IF(J104="Cancelado","CANCELADO",IF(OR(J104="Fechado",J104="Resolvido"),"CONCLUÍDO",IF(OR(P104="ATRASADO",U104&gt;=Listas!$B$16),"ESCALAR",IF(AND(M104="ATRASADO",L104=""),"RESPONDER AGORA",IF(R104&gt;=Listas!$B$14,"REVISAR BACKLOG","ACOMPANHAR")))))))</x:f>
      </x:c>
      <x:c r="W104" s="28"/>
      <x:c r="X104" s="194" t="str">
        <x:f>IF(COUNTA(A104:J104,L104,O104,S104:T104,W104)=0,"",IF(OR(NOT(ISNUMBER(Listas!$B$14)),Listas!$B$14&lt;0,NOT(ISNUMBER(Listas!$B$16)),Listas!$B$16&lt;1,COUNT(Listas!$B$6:$C$9)&lt;&gt;8,MIN(Listas!$B$6:$C$9)&lt;=0),"Parâmetros inválidos",IF(A104="","ID ausente",IF(COUNTIFS($A$5:$A$204,A104)&lt;&gt;1,"ID duplicado",IF(OR(NOT(ISNUMBER(B104)),B104&lt;=0),"Abertura inválida",IF(OR(NOT(ISNUMBER(Listas!$B$18)),Listas!$B$18&lt;=0),"Data da análise inválida",IF(B104&gt;Listas!$B$18,"Abertura após análise",IF(COUNTIFS(Listas!$A$6:$A$9,H104)&lt;&gt;1,"Prioridade inválida",IF(COUNTIFS(Equipe!$A$5:$A$12,I104)&lt;&gt;1,"Responsável inválido",IF(COUNTIFS(Listas!$E$6:$E$11,J104)&lt;&gt;1,"Status inválido",IF(AND(L104&lt;&gt;"",OR(NOT(ISNUMBER(L104)),L104&lt;B104,L104&gt;Listas!$B$18)),"Resposta inválida",IF(AND(O104&lt;&gt;"",OR(NOT(ISNUMBER(O104)),O104&lt;B104,O104&gt;Listas!$B$18)),"Resolução inválida",IF(AND(OR(J104="Fechado",J104="Resolvido"),O104=""),"Conclusão sem resolução",IF(OR(NOT(ISNUMBER(S104)),S104&lt;1,S104&gt;5,IF(ISNUMBER(S104),S104&lt;&gt;INT(S104),FALSE),NOT(ISNUMBER(T104)),T104&lt;1,T104&gt;5,IF(ISNUMBER(T104),T104&lt;&gt;INT(T104),FALSE)),"Impacto ou urgência inválido",""))))))))))))))</x:f>
      </x:c>
      <x:c r="Y104" s="194" t="n">
        <x:f>IF(AND(COUNTA(A104:J104,L104,O104,S104:T104,W104)&gt;0,OR(Listas!$B$20="Todos",I104=Listas!$B$20)),1,0)</x:f>
        <x:v>0</x:v>
      </x:c>
      <x:c r="Z104" s="194" t="n">
        <x:f>IF(AND(Y104=1,X104="",J104&lt;&gt;"Cancelado",NOT(OR(J104="Fechado",J104="Resolvido"))),1,0)</x:f>
        <x:v>0</x:v>
      </x:c>
      <x:c r="AA104" s="194" t="n">
        <x:f>IF(AND(Y104=1,X104="",OR(J104="Fechado",J104="Resolvido")),1,0)</x:f>
        <x:v>0</x:v>
      </x:c>
      <x:c r="AB104" s="194" t="n">
        <x:f>IF(Y104=0,0,IF(X104&lt;&gt;"",1,IF(Z104=0,0,IF(P104="ATRASADO",2,IF(AND(M104="ATRASADO",L104=""),3,IF(V104="ESCALAR",4,IF(V104="REVISAR BACKLOG",5,0)))))))</x:f>
        <x:v>0</x:v>
      </x:c>
      <x:c r="AC104" s="194" t="str">
        <x:f>IF(AB104=0,"",COUNTIFS($AB$5:$AB$204,"&gt;0",$AB$5:$AB$204,"&lt;"&amp;AB104)+COUNTIFS($AB$5:AB104,AB104))</x:f>
      </x:c>
      <x:c r="AD104" s="194" t="n">
        <x:f>IF(AND(A104&lt;&gt;"",X104=""),1,0)</x:f>
        <x:v>0</x:v>
      </x:c>
      <x:c r="AE104" s="194" t="n">
        <x:f>IF(AND(Y104=1,X104&lt;&gt;""),1,0)</x:f>
        <x:v>0</x:v>
      </x:c>
      <x:c r="AF104" s="194" t="n">
        <x:f>IF(L104="",1,0)</x:f>
        <x:v>1</x:v>
      </x:c>
    </x:row>
    <x:row r="105">
      <x:c r="A105" s="28"/>
      <x:c r="B105" s="41"/>
      <x:c r="C105" s="28"/>
      <x:c r="D105" s="28"/>
      <x:c r="E105" s="28"/>
      <x:c r="F105" s="28"/>
      <x:c r="G105" s="28"/>
      <x:c r="H105" s="28"/>
      <x:c r="I105" s="28"/>
      <x:c r="J105" s="28"/>
      <x:c r="K105" s="54" t="str">
        <x:f>IF(OR(A105="",X105&lt;&gt;""),"",B105+INDEX(Listas!$B$6:$B$9,MATCH(H105,Listas!$A$6:$A$9,0))/24)</x:f>
      </x:c>
      <x:c r="L105" s="41"/>
      <x:c r="M105" s="55" t="str">
        <x:f>IF(A105="","",IF(X105&lt;&gt;"","DADO PENDENTE",IF(J105="Cancelado","N.A.",IF(L105&lt;&gt;"",IF(L105&lt;=K105,"ATENDIDO","ATRASADO"),IF(OR(J105="Fechado",J105="Resolvido"),"SEM EVIDÊNCIA",IF(Listas!$B$18&gt;K105,"ATRASADO","PENDENTE"))))))</x:f>
      </x:c>
      <x:c r="N105" s="54" t="str">
        <x:f>IF(OR(A105="",X105&lt;&gt;""),"",B105+INDEX(Listas!$C$6:$C$9,MATCH(H105,Listas!$A$6:$A$9,0))/24)</x:f>
      </x:c>
      <x:c r="O105" s="41"/>
      <x:c r="P105" s="55" t="str">
        <x:f>IF(A105="","",IF(X105&lt;&gt;"","DADO PENDENTE",IF(J105="Cancelado","N.A.",IF(OR(J105="Fechado",J105="Resolvido"),IF(O105&lt;=N105,"ATENDIDO","ATRASADO"),IF(Listas!$B$18&gt;N105,"ATRASADO","PENDENTE")))))</x:f>
      </x:c>
      <x:c r="Q105" s="56" t="str">
        <x:f>IF(OR(A105="",X105&lt;&gt;"",J105="Cancelado"),"",24*IF(OR(J105="Fechado",J105="Resolvido"),O105-B105,Listas!$B$18-B105))</x:f>
      </x:c>
      <x:c r="R105" s="57" t="str">
        <x:f>IF(OR(A105="",X105&lt;&gt;"",J105="Cancelado"),"",INT(IF(OR(J105="Fechado",J105="Resolvido"),O105-B105,Listas!$B$18-B105)))</x:f>
      </x:c>
      <x:c r="S105" s="58"/>
      <x:c r="T105" s="58"/>
      <x:c r="U105" s="57" t="str">
        <x:f>IF(OR(A105="",X105&lt;&gt;"",J105="Cancelado"),"",S105*T105)</x:f>
      </x:c>
      <x:c r="V105" s="55" t="str">
        <x:f>IF(A105="","",IF(X105&lt;&gt;"","CORRIGIR DADOS",IF(J105="Cancelado","CANCELADO",IF(OR(J105="Fechado",J105="Resolvido"),"CONCLUÍDO",IF(OR(P105="ATRASADO",U105&gt;=Listas!$B$16),"ESCALAR",IF(AND(M105="ATRASADO",L105=""),"RESPONDER AGORA",IF(R105&gt;=Listas!$B$14,"REVISAR BACKLOG","ACOMPANHAR")))))))</x:f>
      </x:c>
      <x:c r="W105" s="28"/>
      <x:c r="X105" s="194" t="str">
        <x:f>IF(COUNTA(A105:J105,L105,O105,S105:T105,W105)=0,"",IF(OR(NOT(ISNUMBER(Listas!$B$14)),Listas!$B$14&lt;0,NOT(ISNUMBER(Listas!$B$16)),Listas!$B$16&lt;1,COUNT(Listas!$B$6:$C$9)&lt;&gt;8,MIN(Listas!$B$6:$C$9)&lt;=0),"Parâmetros inválidos",IF(A105="","ID ausente",IF(COUNTIFS($A$5:$A$204,A105)&lt;&gt;1,"ID duplicado",IF(OR(NOT(ISNUMBER(B105)),B105&lt;=0),"Abertura inválida",IF(OR(NOT(ISNUMBER(Listas!$B$18)),Listas!$B$18&lt;=0),"Data da análise inválida",IF(B105&gt;Listas!$B$18,"Abertura após análise",IF(COUNTIFS(Listas!$A$6:$A$9,H105)&lt;&gt;1,"Prioridade inválida",IF(COUNTIFS(Equipe!$A$5:$A$12,I105)&lt;&gt;1,"Responsável inválido",IF(COUNTIFS(Listas!$E$6:$E$11,J105)&lt;&gt;1,"Status inválido",IF(AND(L105&lt;&gt;"",OR(NOT(ISNUMBER(L105)),L105&lt;B105,L105&gt;Listas!$B$18)),"Resposta inválida",IF(AND(O105&lt;&gt;"",OR(NOT(ISNUMBER(O105)),O105&lt;B105,O105&gt;Listas!$B$18)),"Resolução inválida",IF(AND(OR(J105="Fechado",J105="Resolvido"),O105=""),"Conclusão sem resolução",IF(OR(NOT(ISNUMBER(S105)),S105&lt;1,S105&gt;5,IF(ISNUMBER(S105),S105&lt;&gt;INT(S105),FALSE),NOT(ISNUMBER(T105)),T105&lt;1,T105&gt;5,IF(ISNUMBER(T105),T105&lt;&gt;INT(T105),FALSE)),"Impacto ou urgência inválido",""))))))))))))))</x:f>
      </x:c>
      <x:c r="Y105" s="194" t="n">
        <x:f>IF(AND(COUNTA(A105:J105,L105,O105,S105:T105,W105)&gt;0,OR(Listas!$B$20="Todos",I105=Listas!$B$20)),1,0)</x:f>
        <x:v>0</x:v>
      </x:c>
      <x:c r="Z105" s="194" t="n">
        <x:f>IF(AND(Y105=1,X105="",J105&lt;&gt;"Cancelado",NOT(OR(J105="Fechado",J105="Resolvido"))),1,0)</x:f>
        <x:v>0</x:v>
      </x:c>
      <x:c r="AA105" s="194" t="n">
        <x:f>IF(AND(Y105=1,X105="",OR(J105="Fechado",J105="Resolvido")),1,0)</x:f>
        <x:v>0</x:v>
      </x:c>
      <x:c r="AB105" s="194" t="n">
        <x:f>IF(Y105=0,0,IF(X105&lt;&gt;"",1,IF(Z105=0,0,IF(P105="ATRASADO",2,IF(AND(M105="ATRASADO",L105=""),3,IF(V105="ESCALAR",4,IF(V105="REVISAR BACKLOG",5,0)))))))</x:f>
        <x:v>0</x:v>
      </x:c>
      <x:c r="AC105" s="194" t="str">
        <x:f>IF(AB105=0,"",COUNTIFS($AB$5:$AB$204,"&gt;0",$AB$5:$AB$204,"&lt;"&amp;AB105)+COUNTIFS($AB$5:AB105,AB105))</x:f>
      </x:c>
      <x:c r="AD105" s="194" t="n">
        <x:f>IF(AND(A105&lt;&gt;"",X105=""),1,0)</x:f>
        <x:v>0</x:v>
      </x:c>
      <x:c r="AE105" s="194" t="n">
        <x:f>IF(AND(Y105=1,X105&lt;&gt;""),1,0)</x:f>
        <x:v>0</x:v>
      </x:c>
      <x:c r="AF105" s="194" t="n">
        <x:f>IF(L105="",1,0)</x:f>
        <x:v>1</x:v>
      </x:c>
    </x:row>
    <x:row r="106">
      <x:c r="A106" s="28"/>
      <x:c r="B106" s="41"/>
      <x:c r="C106" s="28"/>
      <x:c r="D106" s="28"/>
      <x:c r="E106" s="28"/>
      <x:c r="F106" s="28"/>
      <x:c r="G106" s="28"/>
      <x:c r="H106" s="28"/>
      <x:c r="I106" s="28"/>
      <x:c r="J106" s="28"/>
      <x:c r="K106" s="54" t="str">
        <x:f>IF(OR(A106="",X106&lt;&gt;""),"",B106+INDEX(Listas!$B$6:$B$9,MATCH(H106,Listas!$A$6:$A$9,0))/24)</x:f>
      </x:c>
      <x:c r="L106" s="41"/>
      <x:c r="M106" s="55" t="str">
        <x:f>IF(A106="","",IF(X106&lt;&gt;"","DADO PENDENTE",IF(J106="Cancelado","N.A.",IF(L106&lt;&gt;"",IF(L106&lt;=K106,"ATENDIDO","ATRASADO"),IF(OR(J106="Fechado",J106="Resolvido"),"SEM EVIDÊNCIA",IF(Listas!$B$18&gt;K106,"ATRASADO","PENDENTE"))))))</x:f>
      </x:c>
      <x:c r="N106" s="54" t="str">
        <x:f>IF(OR(A106="",X106&lt;&gt;""),"",B106+INDEX(Listas!$C$6:$C$9,MATCH(H106,Listas!$A$6:$A$9,0))/24)</x:f>
      </x:c>
      <x:c r="O106" s="41"/>
      <x:c r="P106" s="55" t="str">
        <x:f>IF(A106="","",IF(X106&lt;&gt;"","DADO PENDENTE",IF(J106="Cancelado","N.A.",IF(OR(J106="Fechado",J106="Resolvido"),IF(O106&lt;=N106,"ATENDIDO","ATRASADO"),IF(Listas!$B$18&gt;N106,"ATRASADO","PENDENTE")))))</x:f>
      </x:c>
      <x:c r="Q106" s="56" t="str">
        <x:f>IF(OR(A106="",X106&lt;&gt;"",J106="Cancelado"),"",24*IF(OR(J106="Fechado",J106="Resolvido"),O106-B106,Listas!$B$18-B106))</x:f>
      </x:c>
      <x:c r="R106" s="57" t="str">
        <x:f>IF(OR(A106="",X106&lt;&gt;"",J106="Cancelado"),"",INT(IF(OR(J106="Fechado",J106="Resolvido"),O106-B106,Listas!$B$18-B106)))</x:f>
      </x:c>
      <x:c r="S106" s="58"/>
      <x:c r="T106" s="58"/>
      <x:c r="U106" s="57" t="str">
        <x:f>IF(OR(A106="",X106&lt;&gt;"",J106="Cancelado"),"",S106*T106)</x:f>
      </x:c>
      <x:c r="V106" s="55" t="str">
        <x:f>IF(A106="","",IF(X106&lt;&gt;"","CORRIGIR DADOS",IF(J106="Cancelado","CANCELADO",IF(OR(J106="Fechado",J106="Resolvido"),"CONCLUÍDO",IF(OR(P106="ATRASADO",U106&gt;=Listas!$B$16),"ESCALAR",IF(AND(M106="ATRASADO",L106=""),"RESPONDER AGORA",IF(R106&gt;=Listas!$B$14,"REVISAR BACKLOG","ACOMPANHAR")))))))</x:f>
      </x:c>
      <x:c r="W106" s="28"/>
      <x:c r="X106" s="194" t="str">
        <x:f>IF(COUNTA(A106:J106,L106,O106,S106:T106,W106)=0,"",IF(OR(NOT(ISNUMBER(Listas!$B$14)),Listas!$B$14&lt;0,NOT(ISNUMBER(Listas!$B$16)),Listas!$B$16&lt;1,COUNT(Listas!$B$6:$C$9)&lt;&gt;8,MIN(Listas!$B$6:$C$9)&lt;=0),"Parâmetros inválidos",IF(A106="","ID ausente",IF(COUNTIFS($A$5:$A$204,A106)&lt;&gt;1,"ID duplicado",IF(OR(NOT(ISNUMBER(B106)),B106&lt;=0),"Abertura inválida",IF(OR(NOT(ISNUMBER(Listas!$B$18)),Listas!$B$18&lt;=0),"Data da análise inválida",IF(B106&gt;Listas!$B$18,"Abertura após análise",IF(COUNTIFS(Listas!$A$6:$A$9,H106)&lt;&gt;1,"Prioridade inválida",IF(COUNTIFS(Equipe!$A$5:$A$12,I106)&lt;&gt;1,"Responsável inválido",IF(COUNTIFS(Listas!$E$6:$E$11,J106)&lt;&gt;1,"Status inválido",IF(AND(L106&lt;&gt;"",OR(NOT(ISNUMBER(L106)),L106&lt;B106,L106&gt;Listas!$B$18)),"Resposta inválida",IF(AND(O106&lt;&gt;"",OR(NOT(ISNUMBER(O106)),O106&lt;B106,O106&gt;Listas!$B$18)),"Resolução inválida",IF(AND(OR(J106="Fechado",J106="Resolvido"),O106=""),"Conclusão sem resolução",IF(OR(NOT(ISNUMBER(S106)),S106&lt;1,S106&gt;5,IF(ISNUMBER(S106),S106&lt;&gt;INT(S106),FALSE),NOT(ISNUMBER(T106)),T106&lt;1,T106&gt;5,IF(ISNUMBER(T106),T106&lt;&gt;INT(T106),FALSE)),"Impacto ou urgência inválido",""))))))))))))))</x:f>
      </x:c>
      <x:c r="Y106" s="194" t="n">
        <x:f>IF(AND(COUNTA(A106:J106,L106,O106,S106:T106,W106)&gt;0,OR(Listas!$B$20="Todos",I106=Listas!$B$20)),1,0)</x:f>
        <x:v>0</x:v>
      </x:c>
      <x:c r="Z106" s="194" t="n">
        <x:f>IF(AND(Y106=1,X106="",J106&lt;&gt;"Cancelado",NOT(OR(J106="Fechado",J106="Resolvido"))),1,0)</x:f>
        <x:v>0</x:v>
      </x:c>
      <x:c r="AA106" s="194" t="n">
        <x:f>IF(AND(Y106=1,X106="",OR(J106="Fechado",J106="Resolvido")),1,0)</x:f>
        <x:v>0</x:v>
      </x:c>
      <x:c r="AB106" s="194" t="n">
        <x:f>IF(Y106=0,0,IF(X106&lt;&gt;"",1,IF(Z106=0,0,IF(P106="ATRASADO",2,IF(AND(M106="ATRASADO",L106=""),3,IF(V106="ESCALAR",4,IF(V106="REVISAR BACKLOG",5,0)))))))</x:f>
        <x:v>0</x:v>
      </x:c>
      <x:c r="AC106" s="194" t="str">
        <x:f>IF(AB106=0,"",COUNTIFS($AB$5:$AB$204,"&gt;0",$AB$5:$AB$204,"&lt;"&amp;AB106)+COUNTIFS($AB$5:AB106,AB106))</x:f>
      </x:c>
      <x:c r="AD106" s="194" t="n">
        <x:f>IF(AND(A106&lt;&gt;"",X106=""),1,0)</x:f>
        <x:v>0</x:v>
      </x:c>
      <x:c r="AE106" s="194" t="n">
        <x:f>IF(AND(Y106=1,X106&lt;&gt;""),1,0)</x:f>
        <x:v>0</x:v>
      </x:c>
      <x:c r="AF106" s="194" t="n">
        <x:f>IF(L106="",1,0)</x:f>
        <x:v>1</x:v>
      </x:c>
    </x:row>
    <x:row r="107">
      <x:c r="A107" s="28"/>
      <x:c r="B107" s="41"/>
      <x:c r="C107" s="28"/>
      <x:c r="D107" s="28"/>
      <x:c r="E107" s="28"/>
      <x:c r="F107" s="28"/>
      <x:c r="G107" s="28"/>
      <x:c r="H107" s="28"/>
      <x:c r="I107" s="28"/>
      <x:c r="J107" s="28"/>
      <x:c r="K107" s="54" t="str">
        <x:f>IF(OR(A107="",X107&lt;&gt;""),"",B107+INDEX(Listas!$B$6:$B$9,MATCH(H107,Listas!$A$6:$A$9,0))/24)</x:f>
      </x:c>
      <x:c r="L107" s="41"/>
      <x:c r="M107" s="55" t="str">
        <x:f>IF(A107="","",IF(X107&lt;&gt;"","DADO PENDENTE",IF(J107="Cancelado","N.A.",IF(L107&lt;&gt;"",IF(L107&lt;=K107,"ATENDIDO","ATRASADO"),IF(OR(J107="Fechado",J107="Resolvido"),"SEM EVIDÊNCIA",IF(Listas!$B$18&gt;K107,"ATRASADO","PENDENTE"))))))</x:f>
      </x:c>
      <x:c r="N107" s="54" t="str">
        <x:f>IF(OR(A107="",X107&lt;&gt;""),"",B107+INDEX(Listas!$C$6:$C$9,MATCH(H107,Listas!$A$6:$A$9,0))/24)</x:f>
      </x:c>
      <x:c r="O107" s="41"/>
      <x:c r="P107" s="55" t="str">
        <x:f>IF(A107="","",IF(X107&lt;&gt;"","DADO PENDENTE",IF(J107="Cancelado","N.A.",IF(OR(J107="Fechado",J107="Resolvido"),IF(O107&lt;=N107,"ATENDIDO","ATRASADO"),IF(Listas!$B$18&gt;N107,"ATRASADO","PENDENTE")))))</x:f>
      </x:c>
      <x:c r="Q107" s="56" t="str">
        <x:f>IF(OR(A107="",X107&lt;&gt;"",J107="Cancelado"),"",24*IF(OR(J107="Fechado",J107="Resolvido"),O107-B107,Listas!$B$18-B107))</x:f>
      </x:c>
      <x:c r="R107" s="57" t="str">
        <x:f>IF(OR(A107="",X107&lt;&gt;"",J107="Cancelado"),"",INT(IF(OR(J107="Fechado",J107="Resolvido"),O107-B107,Listas!$B$18-B107)))</x:f>
      </x:c>
      <x:c r="S107" s="58"/>
      <x:c r="T107" s="58"/>
      <x:c r="U107" s="57" t="str">
        <x:f>IF(OR(A107="",X107&lt;&gt;"",J107="Cancelado"),"",S107*T107)</x:f>
      </x:c>
      <x:c r="V107" s="55" t="str">
        <x:f>IF(A107="","",IF(X107&lt;&gt;"","CORRIGIR DADOS",IF(J107="Cancelado","CANCELADO",IF(OR(J107="Fechado",J107="Resolvido"),"CONCLUÍDO",IF(OR(P107="ATRASADO",U107&gt;=Listas!$B$16),"ESCALAR",IF(AND(M107="ATRASADO",L107=""),"RESPONDER AGORA",IF(R107&gt;=Listas!$B$14,"REVISAR BACKLOG","ACOMPANHAR")))))))</x:f>
      </x:c>
      <x:c r="W107" s="28"/>
      <x:c r="X107" s="194" t="str">
        <x:f>IF(COUNTA(A107:J107,L107,O107,S107:T107,W107)=0,"",IF(OR(NOT(ISNUMBER(Listas!$B$14)),Listas!$B$14&lt;0,NOT(ISNUMBER(Listas!$B$16)),Listas!$B$16&lt;1,COUNT(Listas!$B$6:$C$9)&lt;&gt;8,MIN(Listas!$B$6:$C$9)&lt;=0),"Parâmetros inválidos",IF(A107="","ID ausente",IF(COUNTIFS($A$5:$A$204,A107)&lt;&gt;1,"ID duplicado",IF(OR(NOT(ISNUMBER(B107)),B107&lt;=0),"Abertura inválida",IF(OR(NOT(ISNUMBER(Listas!$B$18)),Listas!$B$18&lt;=0),"Data da análise inválida",IF(B107&gt;Listas!$B$18,"Abertura após análise",IF(COUNTIFS(Listas!$A$6:$A$9,H107)&lt;&gt;1,"Prioridade inválida",IF(COUNTIFS(Equipe!$A$5:$A$12,I107)&lt;&gt;1,"Responsável inválido",IF(COUNTIFS(Listas!$E$6:$E$11,J107)&lt;&gt;1,"Status inválido",IF(AND(L107&lt;&gt;"",OR(NOT(ISNUMBER(L107)),L107&lt;B107,L107&gt;Listas!$B$18)),"Resposta inválida",IF(AND(O107&lt;&gt;"",OR(NOT(ISNUMBER(O107)),O107&lt;B107,O107&gt;Listas!$B$18)),"Resolução inválida",IF(AND(OR(J107="Fechado",J107="Resolvido"),O107=""),"Conclusão sem resolução",IF(OR(NOT(ISNUMBER(S107)),S107&lt;1,S107&gt;5,IF(ISNUMBER(S107),S107&lt;&gt;INT(S107),FALSE),NOT(ISNUMBER(T107)),T107&lt;1,T107&gt;5,IF(ISNUMBER(T107),T107&lt;&gt;INT(T107),FALSE)),"Impacto ou urgência inválido",""))))))))))))))</x:f>
      </x:c>
      <x:c r="Y107" s="194" t="n">
        <x:f>IF(AND(COUNTA(A107:J107,L107,O107,S107:T107,W107)&gt;0,OR(Listas!$B$20="Todos",I107=Listas!$B$20)),1,0)</x:f>
        <x:v>0</x:v>
      </x:c>
      <x:c r="Z107" s="194" t="n">
        <x:f>IF(AND(Y107=1,X107="",J107&lt;&gt;"Cancelado",NOT(OR(J107="Fechado",J107="Resolvido"))),1,0)</x:f>
        <x:v>0</x:v>
      </x:c>
      <x:c r="AA107" s="194" t="n">
        <x:f>IF(AND(Y107=1,X107="",OR(J107="Fechado",J107="Resolvido")),1,0)</x:f>
        <x:v>0</x:v>
      </x:c>
      <x:c r="AB107" s="194" t="n">
        <x:f>IF(Y107=0,0,IF(X107&lt;&gt;"",1,IF(Z107=0,0,IF(P107="ATRASADO",2,IF(AND(M107="ATRASADO",L107=""),3,IF(V107="ESCALAR",4,IF(V107="REVISAR BACKLOG",5,0)))))))</x:f>
        <x:v>0</x:v>
      </x:c>
      <x:c r="AC107" s="194" t="str">
        <x:f>IF(AB107=0,"",COUNTIFS($AB$5:$AB$204,"&gt;0",$AB$5:$AB$204,"&lt;"&amp;AB107)+COUNTIFS($AB$5:AB107,AB107))</x:f>
      </x:c>
      <x:c r="AD107" s="194" t="n">
        <x:f>IF(AND(A107&lt;&gt;"",X107=""),1,0)</x:f>
        <x:v>0</x:v>
      </x:c>
      <x:c r="AE107" s="194" t="n">
        <x:f>IF(AND(Y107=1,X107&lt;&gt;""),1,0)</x:f>
        <x:v>0</x:v>
      </x:c>
      <x:c r="AF107" s="194" t="n">
        <x:f>IF(L107="",1,0)</x:f>
        <x:v>1</x:v>
      </x:c>
    </x:row>
    <x:row r="108">
      <x:c r="A108" s="28"/>
      <x:c r="B108" s="41"/>
      <x:c r="C108" s="28"/>
      <x:c r="D108" s="28"/>
      <x:c r="E108" s="28"/>
      <x:c r="F108" s="28"/>
      <x:c r="G108" s="28"/>
      <x:c r="H108" s="28"/>
      <x:c r="I108" s="28"/>
      <x:c r="J108" s="28"/>
      <x:c r="K108" s="54" t="str">
        <x:f>IF(OR(A108="",X108&lt;&gt;""),"",B108+INDEX(Listas!$B$6:$B$9,MATCH(H108,Listas!$A$6:$A$9,0))/24)</x:f>
      </x:c>
      <x:c r="L108" s="41"/>
      <x:c r="M108" s="55" t="str">
        <x:f>IF(A108="","",IF(X108&lt;&gt;"","DADO PENDENTE",IF(J108="Cancelado","N.A.",IF(L108&lt;&gt;"",IF(L108&lt;=K108,"ATENDIDO","ATRASADO"),IF(OR(J108="Fechado",J108="Resolvido"),"SEM EVIDÊNCIA",IF(Listas!$B$18&gt;K108,"ATRASADO","PENDENTE"))))))</x:f>
      </x:c>
      <x:c r="N108" s="54" t="str">
        <x:f>IF(OR(A108="",X108&lt;&gt;""),"",B108+INDEX(Listas!$C$6:$C$9,MATCH(H108,Listas!$A$6:$A$9,0))/24)</x:f>
      </x:c>
      <x:c r="O108" s="41"/>
      <x:c r="P108" s="55" t="str">
        <x:f>IF(A108="","",IF(X108&lt;&gt;"","DADO PENDENTE",IF(J108="Cancelado","N.A.",IF(OR(J108="Fechado",J108="Resolvido"),IF(O108&lt;=N108,"ATENDIDO","ATRASADO"),IF(Listas!$B$18&gt;N108,"ATRASADO","PENDENTE")))))</x:f>
      </x:c>
      <x:c r="Q108" s="56" t="str">
        <x:f>IF(OR(A108="",X108&lt;&gt;"",J108="Cancelado"),"",24*IF(OR(J108="Fechado",J108="Resolvido"),O108-B108,Listas!$B$18-B108))</x:f>
      </x:c>
      <x:c r="R108" s="57" t="str">
        <x:f>IF(OR(A108="",X108&lt;&gt;"",J108="Cancelado"),"",INT(IF(OR(J108="Fechado",J108="Resolvido"),O108-B108,Listas!$B$18-B108)))</x:f>
      </x:c>
      <x:c r="S108" s="58"/>
      <x:c r="T108" s="58"/>
      <x:c r="U108" s="57" t="str">
        <x:f>IF(OR(A108="",X108&lt;&gt;"",J108="Cancelado"),"",S108*T108)</x:f>
      </x:c>
      <x:c r="V108" s="55" t="str">
        <x:f>IF(A108="","",IF(X108&lt;&gt;"","CORRIGIR DADOS",IF(J108="Cancelado","CANCELADO",IF(OR(J108="Fechado",J108="Resolvido"),"CONCLUÍDO",IF(OR(P108="ATRASADO",U108&gt;=Listas!$B$16),"ESCALAR",IF(AND(M108="ATRASADO",L108=""),"RESPONDER AGORA",IF(R108&gt;=Listas!$B$14,"REVISAR BACKLOG","ACOMPANHAR")))))))</x:f>
      </x:c>
      <x:c r="W108" s="28"/>
      <x:c r="X108" s="194" t="str">
        <x:f>IF(COUNTA(A108:J108,L108,O108,S108:T108,W108)=0,"",IF(OR(NOT(ISNUMBER(Listas!$B$14)),Listas!$B$14&lt;0,NOT(ISNUMBER(Listas!$B$16)),Listas!$B$16&lt;1,COUNT(Listas!$B$6:$C$9)&lt;&gt;8,MIN(Listas!$B$6:$C$9)&lt;=0),"Parâmetros inválidos",IF(A108="","ID ausente",IF(COUNTIFS($A$5:$A$204,A108)&lt;&gt;1,"ID duplicado",IF(OR(NOT(ISNUMBER(B108)),B108&lt;=0),"Abertura inválida",IF(OR(NOT(ISNUMBER(Listas!$B$18)),Listas!$B$18&lt;=0),"Data da análise inválida",IF(B108&gt;Listas!$B$18,"Abertura após análise",IF(COUNTIFS(Listas!$A$6:$A$9,H108)&lt;&gt;1,"Prioridade inválida",IF(COUNTIFS(Equipe!$A$5:$A$12,I108)&lt;&gt;1,"Responsável inválido",IF(COUNTIFS(Listas!$E$6:$E$11,J108)&lt;&gt;1,"Status inválido",IF(AND(L108&lt;&gt;"",OR(NOT(ISNUMBER(L108)),L108&lt;B108,L108&gt;Listas!$B$18)),"Resposta inválida",IF(AND(O108&lt;&gt;"",OR(NOT(ISNUMBER(O108)),O108&lt;B108,O108&gt;Listas!$B$18)),"Resolução inválida",IF(AND(OR(J108="Fechado",J108="Resolvido"),O108=""),"Conclusão sem resolução",IF(OR(NOT(ISNUMBER(S108)),S108&lt;1,S108&gt;5,IF(ISNUMBER(S108),S108&lt;&gt;INT(S108),FALSE),NOT(ISNUMBER(T108)),T108&lt;1,T108&gt;5,IF(ISNUMBER(T108),T108&lt;&gt;INT(T108),FALSE)),"Impacto ou urgência inválido",""))))))))))))))</x:f>
      </x:c>
      <x:c r="Y108" s="194" t="n">
        <x:f>IF(AND(COUNTA(A108:J108,L108,O108,S108:T108,W108)&gt;0,OR(Listas!$B$20="Todos",I108=Listas!$B$20)),1,0)</x:f>
        <x:v>0</x:v>
      </x:c>
      <x:c r="Z108" s="194" t="n">
        <x:f>IF(AND(Y108=1,X108="",J108&lt;&gt;"Cancelado",NOT(OR(J108="Fechado",J108="Resolvido"))),1,0)</x:f>
        <x:v>0</x:v>
      </x:c>
      <x:c r="AA108" s="194" t="n">
        <x:f>IF(AND(Y108=1,X108="",OR(J108="Fechado",J108="Resolvido")),1,0)</x:f>
        <x:v>0</x:v>
      </x:c>
      <x:c r="AB108" s="194" t="n">
        <x:f>IF(Y108=0,0,IF(X108&lt;&gt;"",1,IF(Z108=0,0,IF(P108="ATRASADO",2,IF(AND(M108="ATRASADO",L108=""),3,IF(V108="ESCALAR",4,IF(V108="REVISAR BACKLOG",5,0)))))))</x:f>
        <x:v>0</x:v>
      </x:c>
      <x:c r="AC108" s="194" t="str">
        <x:f>IF(AB108=0,"",COUNTIFS($AB$5:$AB$204,"&gt;0",$AB$5:$AB$204,"&lt;"&amp;AB108)+COUNTIFS($AB$5:AB108,AB108))</x:f>
      </x:c>
      <x:c r="AD108" s="194" t="n">
        <x:f>IF(AND(A108&lt;&gt;"",X108=""),1,0)</x:f>
        <x:v>0</x:v>
      </x:c>
      <x:c r="AE108" s="194" t="n">
        <x:f>IF(AND(Y108=1,X108&lt;&gt;""),1,0)</x:f>
        <x:v>0</x:v>
      </x:c>
      <x:c r="AF108" s="194" t="n">
        <x:f>IF(L108="",1,0)</x:f>
        <x:v>1</x:v>
      </x:c>
    </x:row>
    <x:row r="109">
      <x:c r="A109" s="28"/>
      <x:c r="B109" s="41"/>
      <x:c r="C109" s="28"/>
      <x:c r="D109" s="28"/>
      <x:c r="E109" s="28"/>
      <x:c r="F109" s="28"/>
      <x:c r="G109" s="28"/>
      <x:c r="H109" s="28"/>
      <x:c r="I109" s="28"/>
      <x:c r="J109" s="28"/>
      <x:c r="K109" s="54" t="str">
        <x:f>IF(OR(A109="",X109&lt;&gt;""),"",B109+INDEX(Listas!$B$6:$B$9,MATCH(H109,Listas!$A$6:$A$9,0))/24)</x:f>
      </x:c>
      <x:c r="L109" s="41"/>
      <x:c r="M109" s="55" t="str">
        <x:f>IF(A109="","",IF(X109&lt;&gt;"","DADO PENDENTE",IF(J109="Cancelado","N.A.",IF(L109&lt;&gt;"",IF(L109&lt;=K109,"ATENDIDO","ATRASADO"),IF(OR(J109="Fechado",J109="Resolvido"),"SEM EVIDÊNCIA",IF(Listas!$B$18&gt;K109,"ATRASADO","PENDENTE"))))))</x:f>
      </x:c>
      <x:c r="N109" s="54" t="str">
        <x:f>IF(OR(A109="",X109&lt;&gt;""),"",B109+INDEX(Listas!$C$6:$C$9,MATCH(H109,Listas!$A$6:$A$9,0))/24)</x:f>
      </x:c>
      <x:c r="O109" s="41"/>
      <x:c r="P109" s="55" t="str">
        <x:f>IF(A109="","",IF(X109&lt;&gt;"","DADO PENDENTE",IF(J109="Cancelado","N.A.",IF(OR(J109="Fechado",J109="Resolvido"),IF(O109&lt;=N109,"ATENDIDO","ATRASADO"),IF(Listas!$B$18&gt;N109,"ATRASADO","PENDENTE")))))</x:f>
      </x:c>
      <x:c r="Q109" s="56" t="str">
        <x:f>IF(OR(A109="",X109&lt;&gt;"",J109="Cancelado"),"",24*IF(OR(J109="Fechado",J109="Resolvido"),O109-B109,Listas!$B$18-B109))</x:f>
      </x:c>
      <x:c r="R109" s="57" t="str">
        <x:f>IF(OR(A109="",X109&lt;&gt;"",J109="Cancelado"),"",INT(IF(OR(J109="Fechado",J109="Resolvido"),O109-B109,Listas!$B$18-B109)))</x:f>
      </x:c>
      <x:c r="S109" s="58"/>
      <x:c r="T109" s="58"/>
      <x:c r="U109" s="57" t="str">
        <x:f>IF(OR(A109="",X109&lt;&gt;"",J109="Cancelado"),"",S109*T109)</x:f>
      </x:c>
      <x:c r="V109" s="55" t="str">
        <x:f>IF(A109="","",IF(X109&lt;&gt;"","CORRIGIR DADOS",IF(J109="Cancelado","CANCELADO",IF(OR(J109="Fechado",J109="Resolvido"),"CONCLUÍDO",IF(OR(P109="ATRASADO",U109&gt;=Listas!$B$16),"ESCALAR",IF(AND(M109="ATRASADO",L109=""),"RESPONDER AGORA",IF(R109&gt;=Listas!$B$14,"REVISAR BACKLOG","ACOMPANHAR")))))))</x:f>
      </x:c>
      <x:c r="W109" s="28"/>
      <x:c r="X109" s="194" t="str">
        <x:f>IF(COUNTA(A109:J109,L109,O109,S109:T109,W109)=0,"",IF(OR(NOT(ISNUMBER(Listas!$B$14)),Listas!$B$14&lt;0,NOT(ISNUMBER(Listas!$B$16)),Listas!$B$16&lt;1,COUNT(Listas!$B$6:$C$9)&lt;&gt;8,MIN(Listas!$B$6:$C$9)&lt;=0),"Parâmetros inválidos",IF(A109="","ID ausente",IF(COUNTIFS($A$5:$A$204,A109)&lt;&gt;1,"ID duplicado",IF(OR(NOT(ISNUMBER(B109)),B109&lt;=0),"Abertura inválida",IF(OR(NOT(ISNUMBER(Listas!$B$18)),Listas!$B$18&lt;=0),"Data da análise inválida",IF(B109&gt;Listas!$B$18,"Abertura após análise",IF(COUNTIFS(Listas!$A$6:$A$9,H109)&lt;&gt;1,"Prioridade inválida",IF(COUNTIFS(Equipe!$A$5:$A$12,I109)&lt;&gt;1,"Responsável inválido",IF(COUNTIFS(Listas!$E$6:$E$11,J109)&lt;&gt;1,"Status inválido",IF(AND(L109&lt;&gt;"",OR(NOT(ISNUMBER(L109)),L109&lt;B109,L109&gt;Listas!$B$18)),"Resposta inválida",IF(AND(O109&lt;&gt;"",OR(NOT(ISNUMBER(O109)),O109&lt;B109,O109&gt;Listas!$B$18)),"Resolução inválida",IF(AND(OR(J109="Fechado",J109="Resolvido"),O109=""),"Conclusão sem resolução",IF(OR(NOT(ISNUMBER(S109)),S109&lt;1,S109&gt;5,IF(ISNUMBER(S109),S109&lt;&gt;INT(S109),FALSE),NOT(ISNUMBER(T109)),T109&lt;1,T109&gt;5,IF(ISNUMBER(T109),T109&lt;&gt;INT(T109),FALSE)),"Impacto ou urgência inválido",""))))))))))))))</x:f>
      </x:c>
      <x:c r="Y109" s="194" t="n">
        <x:f>IF(AND(COUNTA(A109:J109,L109,O109,S109:T109,W109)&gt;0,OR(Listas!$B$20="Todos",I109=Listas!$B$20)),1,0)</x:f>
        <x:v>0</x:v>
      </x:c>
      <x:c r="Z109" s="194" t="n">
        <x:f>IF(AND(Y109=1,X109="",J109&lt;&gt;"Cancelado",NOT(OR(J109="Fechado",J109="Resolvido"))),1,0)</x:f>
        <x:v>0</x:v>
      </x:c>
      <x:c r="AA109" s="194" t="n">
        <x:f>IF(AND(Y109=1,X109="",OR(J109="Fechado",J109="Resolvido")),1,0)</x:f>
        <x:v>0</x:v>
      </x:c>
      <x:c r="AB109" s="194" t="n">
        <x:f>IF(Y109=0,0,IF(X109&lt;&gt;"",1,IF(Z109=0,0,IF(P109="ATRASADO",2,IF(AND(M109="ATRASADO",L109=""),3,IF(V109="ESCALAR",4,IF(V109="REVISAR BACKLOG",5,0)))))))</x:f>
        <x:v>0</x:v>
      </x:c>
      <x:c r="AC109" s="194" t="str">
        <x:f>IF(AB109=0,"",COUNTIFS($AB$5:$AB$204,"&gt;0",$AB$5:$AB$204,"&lt;"&amp;AB109)+COUNTIFS($AB$5:AB109,AB109))</x:f>
      </x:c>
      <x:c r="AD109" s="194" t="n">
        <x:f>IF(AND(A109&lt;&gt;"",X109=""),1,0)</x:f>
        <x:v>0</x:v>
      </x:c>
      <x:c r="AE109" s="194" t="n">
        <x:f>IF(AND(Y109=1,X109&lt;&gt;""),1,0)</x:f>
        <x:v>0</x:v>
      </x:c>
      <x:c r="AF109" s="194" t="n">
        <x:f>IF(L109="",1,0)</x:f>
        <x:v>1</x:v>
      </x:c>
    </x:row>
    <x:row r="110">
      <x:c r="A110" s="28"/>
      <x:c r="B110" s="41"/>
      <x:c r="C110" s="28"/>
      <x:c r="D110" s="28"/>
      <x:c r="E110" s="28"/>
      <x:c r="F110" s="28"/>
      <x:c r="G110" s="28"/>
      <x:c r="H110" s="28"/>
      <x:c r="I110" s="28"/>
      <x:c r="J110" s="28"/>
      <x:c r="K110" s="54" t="str">
        <x:f>IF(OR(A110="",X110&lt;&gt;""),"",B110+INDEX(Listas!$B$6:$B$9,MATCH(H110,Listas!$A$6:$A$9,0))/24)</x:f>
      </x:c>
      <x:c r="L110" s="41"/>
      <x:c r="M110" s="55" t="str">
        <x:f>IF(A110="","",IF(X110&lt;&gt;"","DADO PENDENTE",IF(J110="Cancelado","N.A.",IF(L110&lt;&gt;"",IF(L110&lt;=K110,"ATENDIDO","ATRASADO"),IF(OR(J110="Fechado",J110="Resolvido"),"SEM EVIDÊNCIA",IF(Listas!$B$18&gt;K110,"ATRASADO","PENDENTE"))))))</x:f>
      </x:c>
      <x:c r="N110" s="54" t="str">
        <x:f>IF(OR(A110="",X110&lt;&gt;""),"",B110+INDEX(Listas!$C$6:$C$9,MATCH(H110,Listas!$A$6:$A$9,0))/24)</x:f>
      </x:c>
      <x:c r="O110" s="41"/>
      <x:c r="P110" s="55" t="str">
        <x:f>IF(A110="","",IF(X110&lt;&gt;"","DADO PENDENTE",IF(J110="Cancelado","N.A.",IF(OR(J110="Fechado",J110="Resolvido"),IF(O110&lt;=N110,"ATENDIDO","ATRASADO"),IF(Listas!$B$18&gt;N110,"ATRASADO","PENDENTE")))))</x:f>
      </x:c>
      <x:c r="Q110" s="56" t="str">
        <x:f>IF(OR(A110="",X110&lt;&gt;"",J110="Cancelado"),"",24*IF(OR(J110="Fechado",J110="Resolvido"),O110-B110,Listas!$B$18-B110))</x:f>
      </x:c>
      <x:c r="R110" s="57" t="str">
        <x:f>IF(OR(A110="",X110&lt;&gt;"",J110="Cancelado"),"",INT(IF(OR(J110="Fechado",J110="Resolvido"),O110-B110,Listas!$B$18-B110)))</x:f>
      </x:c>
      <x:c r="S110" s="58"/>
      <x:c r="T110" s="58"/>
      <x:c r="U110" s="57" t="str">
        <x:f>IF(OR(A110="",X110&lt;&gt;"",J110="Cancelado"),"",S110*T110)</x:f>
      </x:c>
      <x:c r="V110" s="55" t="str">
        <x:f>IF(A110="","",IF(X110&lt;&gt;"","CORRIGIR DADOS",IF(J110="Cancelado","CANCELADO",IF(OR(J110="Fechado",J110="Resolvido"),"CONCLUÍDO",IF(OR(P110="ATRASADO",U110&gt;=Listas!$B$16),"ESCALAR",IF(AND(M110="ATRASADO",L110=""),"RESPONDER AGORA",IF(R110&gt;=Listas!$B$14,"REVISAR BACKLOG","ACOMPANHAR")))))))</x:f>
      </x:c>
      <x:c r="W110" s="28"/>
      <x:c r="X110" s="194" t="str">
        <x:f>IF(COUNTA(A110:J110,L110,O110,S110:T110,W110)=0,"",IF(OR(NOT(ISNUMBER(Listas!$B$14)),Listas!$B$14&lt;0,NOT(ISNUMBER(Listas!$B$16)),Listas!$B$16&lt;1,COUNT(Listas!$B$6:$C$9)&lt;&gt;8,MIN(Listas!$B$6:$C$9)&lt;=0),"Parâmetros inválidos",IF(A110="","ID ausente",IF(COUNTIFS($A$5:$A$204,A110)&lt;&gt;1,"ID duplicado",IF(OR(NOT(ISNUMBER(B110)),B110&lt;=0),"Abertura inválida",IF(OR(NOT(ISNUMBER(Listas!$B$18)),Listas!$B$18&lt;=0),"Data da análise inválida",IF(B110&gt;Listas!$B$18,"Abertura após análise",IF(COUNTIFS(Listas!$A$6:$A$9,H110)&lt;&gt;1,"Prioridade inválida",IF(COUNTIFS(Equipe!$A$5:$A$12,I110)&lt;&gt;1,"Responsável inválido",IF(COUNTIFS(Listas!$E$6:$E$11,J110)&lt;&gt;1,"Status inválido",IF(AND(L110&lt;&gt;"",OR(NOT(ISNUMBER(L110)),L110&lt;B110,L110&gt;Listas!$B$18)),"Resposta inválida",IF(AND(O110&lt;&gt;"",OR(NOT(ISNUMBER(O110)),O110&lt;B110,O110&gt;Listas!$B$18)),"Resolução inválida",IF(AND(OR(J110="Fechado",J110="Resolvido"),O110=""),"Conclusão sem resolução",IF(OR(NOT(ISNUMBER(S110)),S110&lt;1,S110&gt;5,IF(ISNUMBER(S110),S110&lt;&gt;INT(S110),FALSE),NOT(ISNUMBER(T110)),T110&lt;1,T110&gt;5,IF(ISNUMBER(T110),T110&lt;&gt;INT(T110),FALSE)),"Impacto ou urgência inválido",""))))))))))))))</x:f>
      </x:c>
      <x:c r="Y110" s="194" t="n">
        <x:f>IF(AND(COUNTA(A110:J110,L110,O110,S110:T110,W110)&gt;0,OR(Listas!$B$20="Todos",I110=Listas!$B$20)),1,0)</x:f>
        <x:v>0</x:v>
      </x:c>
      <x:c r="Z110" s="194" t="n">
        <x:f>IF(AND(Y110=1,X110="",J110&lt;&gt;"Cancelado",NOT(OR(J110="Fechado",J110="Resolvido"))),1,0)</x:f>
        <x:v>0</x:v>
      </x:c>
      <x:c r="AA110" s="194" t="n">
        <x:f>IF(AND(Y110=1,X110="",OR(J110="Fechado",J110="Resolvido")),1,0)</x:f>
        <x:v>0</x:v>
      </x:c>
      <x:c r="AB110" s="194" t="n">
        <x:f>IF(Y110=0,0,IF(X110&lt;&gt;"",1,IF(Z110=0,0,IF(P110="ATRASADO",2,IF(AND(M110="ATRASADO",L110=""),3,IF(V110="ESCALAR",4,IF(V110="REVISAR BACKLOG",5,0)))))))</x:f>
        <x:v>0</x:v>
      </x:c>
      <x:c r="AC110" s="194" t="str">
        <x:f>IF(AB110=0,"",COUNTIFS($AB$5:$AB$204,"&gt;0",$AB$5:$AB$204,"&lt;"&amp;AB110)+COUNTIFS($AB$5:AB110,AB110))</x:f>
      </x:c>
      <x:c r="AD110" s="194" t="n">
        <x:f>IF(AND(A110&lt;&gt;"",X110=""),1,0)</x:f>
        <x:v>0</x:v>
      </x:c>
      <x:c r="AE110" s="194" t="n">
        <x:f>IF(AND(Y110=1,X110&lt;&gt;""),1,0)</x:f>
        <x:v>0</x:v>
      </x:c>
      <x:c r="AF110" s="194" t="n">
        <x:f>IF(L110="",1,0)</x:f>
        <x:v>1</x:v>
      </x:c>
    </x:row>
    <x:row r="111">
      <x:c r="A111" s="28"/>
      <x:c r="B111" s="41"/>
      <x:c r="C111" s="28"/>
      <x:c r="D111" s="28"/>
      <x:c r="E111" s="28"/>
      <x:c r="F111" s="28"/>
      <x:c r="G111" s="28"/>
      <x:c r="H111" s="28"/>
      <x:c r="I111" s="28"/>
      <x:c r="J111" s="28"/>
      <x:c r="K111" s="54" t="str">
        <x:f>IF(OR(A111="",X111&lt;&gt;""),"",B111+INDEX(Listas!$B$6:$B$9,MATCH(H111,Listas!$A$6:$A$9,0))/24)</x:f>
      </x:c>
      <x:c r="L111" s="41"/>
      <x:c r="M111" s="55" t="str">
        <x:f>IF(A111="","",IF(X111&lt;&gt;"","DADO PENDENTE",IF(J111="Cancelado","N.A.",IF(L111&lt;&gt;"",IF(L111&lt;=K111,"ATENDIDO","ATRASADO"),IF(OR(J111="Fechado",J111="Resolvido"),"SEM EVIDÊNCIA",IF(Listas!$B$18&gt;K111,"ATRASADO","PENDENTE"))))))</x:f>
      </x:c>
      <x:c r="N111" s="54" t="str">
        <x:f>IF(OR(A111="",X111&lt;&gt;""),"",B111+INDEX(Listas!$C$6:$C$9,MATCH(H111,Listas!$A$6:$A$9,0))/24)</x:f>
      </x:c>
      <x:c r="O111" s="41"/>
      <x:c r="P111" s="55" t="str">
        <x:f>IF(A111="","",IF(X111&lt;&gt;"","DADO PENDENTE",IF(J111="Cancelado","N.A.",IF(OR(J111="Fechado",J111="Resolvido"),IF(O111&lt;=N111,"ATENDIDO","ATRASADO"),IF(Listas!$B$18&gt;N111,"ATRASADO","PENDENTE")))))</x:f>
      </x:c>
      <x:c r="Q111" s="56" t="str">
        <x:f>IF(OR(A111="",X111&lt;&gt;"",J111="Cancelado"),"",24*IF(OR(J111="Fechado",J111="Resolvido"),O111-B111,Listas!$B$18-B111))</x:f>
      </x:c>
      <x:c r="R111" s="57" t="str">
        <x:f>IF(OR(A111="",X111&lt;&gt;"",J111="Cancelado"),"",INT(IF(OR(J111="Fechado",J111="Resolvido"),O111-B111,Listas!$B$18-B111)))</x:f>
      </x:c>
      <x:c r="S111" s="58"/>
      <x:c r="T111" s="58"/>
      <x:c r="U111" s="57" t="str">
        <x:f>IF(OR(A111="",X111&lt;&gt;"",J111="Cancelado"),"",S111*T111)</x:f>
      </x:c>
      <x:c r="V111" s="55" t="str">
        <x:f>IF(A111="","",IF(X111&lt;&gt;"","CORRIGIR DADOS",IF(J111="Cancelado","CANCELADO",IF(OR(J111="Fechado",J111="Resolvido"),"CONCLUÍDO",IF(OR(P111="ATRASADO",U111&gt;=Listas!$B$16),"ESCALAR",IF(AND(M111="ATRASADO",L111=""),"RESPONDER AGORA",IF(R111&gt;=Listas!$B$14,"REVISAR BACKLOG","ACOMPANHAR")))))))</x:f>
      </x:c>
      <x:c r="W111" s="28"/>
      <x:c r="X111" s="194" t="str">
        <x:f>IF(COUNTA(A111:J111,L111,O111,S111:T111,W111)=0,"",IF(OR(NOT(ISNUMBER(Listas!$B$14)),Listas!$B$14&lt;0,NOT(ISNUMBER(Listas!$B$16)),Listas!$B$16&lt;1,COUNT(Listas!$B$6:$C$9)&lt;&gt;8,MIN(Listas!$B$6:$C$9)&lt;=0),"Parâmetros inválidos",IF(A111="","ID ausente",IF(COUNTIFS($A$5:$A$204,A111)&lt;&gt;1,"ID duplicado",IF(OR(NOT(ISNUMBER(B111)),B111&lt;=0),"Abertura inválida",IF(OR(NOT(ISNUMBER(Listas!$B$18)),Listas!$B$18&lt;=0),"Data da análise inválida",IF(B111&gt;Listas!$B$18,"Abertura após análise",IF(COUNTIFS(Listas!$A$6:$A$9,H111)&lt;&gt;1,"Prioridade inválida",IF(COUNTIFS(Equipe!$A$5:$A$12,I111)&lt;&gt;1,"Responsável inválido",IF(COUNTIFS(Listas!$E$6:$E$11,J111)&lt;&gt;1,"Status inválido",IF(AND(L111&lt;&gt;"",OR(NOT(ISNUMBER(L111)),L111&lt;B111,L111&gt;Listas!$B$18)),"Resposta inválida",IF(AND(O111&lt;&gt;"",OR(NOT(ISNUMBER(O111)),O111&lt;B111,O111&gt;Listas!$B$18)),"Resolução inválida",IF(AND(OR(J111="Fechado",J111="Resolvido"),O111=""),"Conclusão sem resolução",IF(OR(NOT(ISNUMBER(S111)),S111&lt;1,S111&gt;5,IF(ISNUMBER(S111),S111&lt;&gt;INT(S111),FALSE),NOT(ISNUMBER(T111)),T111&lt;1,T111&gt;5,IF(ISNUMBER(T111),T111&lt;&gt;INT(T111),FALSE)),"Impacto ou urgência inválido",""))))))))))))))</x:f>
      </x:c>
      <x:c r="Y111" s="194" t="n">
        <x:f>IF(AND(COUNTA(A111:J111,L111,O111,S111:T111,W111)&gt;0,OR(Listas!$B$20="Todos",I111=Listas!$B$20)),1,0)</x:f>
        <x:v>0</x:v>
      </x:c>
      <x:c r="Z111" s="194" t="n">
        <x:f>IF(AND(Y111=1,X111="",J111&lt;&gt;"Cancelado",NOT(OR(J111="Fechado",J111="Resolvido"))),1,0)</x:f>
        <x:v>0</x:v>
      </x:c>
      <x:c r="AA111" s="194" t="n">
        <x:f>IF(AND(Y111=1,X111="",OR(J111="Fechado",J111="Resolvido")),1,0)</x:f>
        <x:v>0</x:v>
      </x:c>
      <x:c r="AB111" s="194" t="n">
        <x:f>IF(Y111=0,0,IF(X111&lt;&gt;"",1,IF(Z111=0,0,IF(P111="ATRASADO",2,IF(AND(M111="ATRASADO",L111=""),3,IF(V111="ESCALAR",4,IF(V111="REVISAR BACKLOG",5,0)))))))</x:f>
        <x:v>0</x:v>
      </x:c>
      <x:c r="AC111" s="194" t="str">
        <x:f>IF(AB111=0,"",COUNTIFS($AB$5:$AB$204,"&gt;0",$AB$5:$AB$204,"&lt;"&amp;AB111)+COUNTIFS($AB$5:AB111,AB111))</x:f>
      </x:c>
      <x:c r="AD111" s="194" t="n">
        <x:f>IF(AND(A111&lt;&gt;"",X111=""),1,0)</x:f>
        <x:v>0</x:v>
      </x:c>
      <x:c r="AE111" s="194" t="n">
        <x:f>IF(AND(Y111=1,X111&lt;&gt;""),1,0)</x:f>
        <x:v>0</x:v>
      </x:c>
      <x:c r="AF111" s="194" t="n">
        <x:f>IF(L111="",1,0)</x:f>
        <x:v>1</x:v>
      </x:c>
    </x:row>
    <x:row r="112">
      <x:c r="A112" s="28"/>
      <x:c r="B112" s="41"/>
      <x:c r="C112" s="28"/>
      <x:c r="D112" s="28"/>
      <x:c r="E112" s="28"/>
      <x:c r="F112" s="28"/>
      <x:c r="G112" s="28"/>
      <x:c r="H112" s="28"/>
      <x:c r="I112" s="28"/>
      <x:c r="J112" s="28"/>
      <x:c r="K112" s="54" t="str">
        <x:f>IF(OR(A112="",X112&lt;&gt;""),"",B112+INDEX(Listas!$B$6:$B$9,MATCH(H112,Listas!$A$6:$A$9,0))/24)</x:f>
      </x:c>
      <x:c r="L112" s="41"/>
      <x:c r="M112" s="55" t="str">
        <x:f>IF(A112="","",IF(X112&lt;&gt;"","DADO PENDENTE",IF(J112="Cancelado","N.A.",IF(L112&lt;&gt;"",IF(L112&lt;=K112,"ATENDIDO","ATRASADO"),IF(OR(J112="Fechado",J112="Resolvido"),"SEM EVIDÊNCIA",IF(Listas!$B$18&gt;K112,"ATRASADO","PENDENTE"))))))</x:f>
      </x:c>
      <x:c r="N112" s="54" t="str">
        <x:f>IF(OR(A112="",X112&lt;&gt;""),"",B112+INDEX(Listas!$C$6:$C$9,MATCH(H112,Listas!$A$6:$A$9,0))/24)</x:f>
      </x:c>
      <x:c r="O112" s="41"/>
      <x:c r="P112" s="55" t="str">
        <x:f>IF(A112="","",IF(X112&lt;&gt;"","DADO PENDENTE",IF(J112="Cancelado","N.A.",IF(OR(J112="Fechado",J112="Resolvido"),IF(O112&lt;=N112,"ATENDIDO","ATRASADO"),IF(Listas!$B$18&gt;N112,"ATRASADO","PENDENTE")))))</x:f>
      </x:c>
      <x:c r="Q112" s="56" t="str">
        <x:f>IF(OR(A112="",X112&lt;&gt;"",J112="Cancelado"),"",24*IF(OR(J112="Fechado",J112="Resolvido"),O112-B112,Listas!$B$18-B112))</x:f>
      </x:c>
      <x:c r="R112" s="57" t="str">
        <x:f>IF(OR(A112="",X112&lt;&gt;"",J112="Cancelado"),"",INT(IF(OR(J112="Fechado",J112="Resolvido"),O112-B112,Listas!$B$18-B112)))</x:f>
      </x:c>
      <x:c r="S112" s="58"/>
      <x:c r="T112" s="58"/>
      <x:c r="U112" s="57" t="str">
        <x:f>IF(OR(A112="",X112&lt;&gt;"",J112="Cancelado"),"",S112*T112)</x:f>
      </x:c>
      <x:c r="V112" s="55" t="str">
        <x:f>IF(A112="","",IF(X112&lt;&gt;"","CORRIGIR DADOS",IF(J112="Cancelado","CANCELADO",IF(OR(J112="Fechado",J112="Resolvido"),"CONCLUÍDO",IF(OR(P112="ATRASADO",U112&gt;=Listas!$B$16),"ESCALAR",IF(AND(M112="ATRASADO",L112=""),"RESPONDER AGORA",IF(R112&gt;=Listas!$B$14,"REVISAR BACKLOG","ACOMPANHAR")))))))</x:f>
      </x:c>
      <x:c r="W112" s="28"/>
      <x:c r="X112" s="194" t="str">
        <x:f>IF(COUNTA(A112:J112,L112,O112,S112:T112,W112)=0,"",IF(OR(NOT(ISNUMBER(Listas!$B$14)),Listas!$B$14&lt;0,NOT(ISNUMBER(Listas!$B$16)),Listas!$B$16&lt;1,COUNT(Listas!$B$6:$C$9)&lt;&gt;8,MIN(Listas!$B$6:$C$9)&lt;=0),"Parâmetros inválidos",IF(A112="","ID ausente",IF(COUNTIFS($A$5:$A$204,A112)&lt;&gt;1,"ID duplicado",IF(OR(NOT(ISNUMBER(B112)),B112&lt;=0),"Abertura inválida",IF(OR(NOT(ISNUMBER(Listas!$B$18)),Listas!$B$18&lt;=0),"Data da análise inválida",IF(B112&gt;Listas!$B$18,"Abertura após análise",IF(COUNTIFS(Listas!$A$6:$A$9,H112)&lt;&gt;1,"Prioridade inválida",IF(COUNTIFS(Equipe!$A$5:$A$12,I112)&lt;&gt;1,"Responsável inválido",IF(COUNTIFS(Listas!$E$6:$E$11,J112)&lt;&gt;1,"Status inválido",IF(AND(L112&lt;&gt;"",OR(NOT(ISNUMBER(L112)),L112&lt;B112,L112&gt;Listas!$B$18)),"Resposta inválida",IF(AND(O112&lt;&gt;"",OR(NOT(ISNUMBER(O112)),O112&lt;B112,O112&gt;Listas!$B$18)),"Resolução inválida",IF(AND(OR(J112="Fechado",J112="Resolvido"),O112=""),"Conclusão sem resolução",IF(OR(NOT(ISNUMBER(S112)),S112&lt;1,S112&gt;5,IF(ISNUMBER(S112),S112&lt;&gt;INT(S112),FALSE),NOT(ISNUMBER(T112)),T112&lt;1,T112&gt;5,IF(ISNUMBER(T112),T112&lt;&gt;INT(T112),FALSE)),"Impacto ou urgência inválido",""))))))))))))))</x:f>
      </x:c>
      <x:c r="Y112" s="194" t="n">
        <x:f>IF(AND(COUNTA(A112:J112,L112,O112,S112:T112,W112)&gt;0,OR(Listas!$B$20="Todos",I112=Listas!$B$20)),1,0)</x:f>
        <x:v>0</x:v>
      </x:c>
      <x:c r="Z112" s="194" t="n">
        <x:f>IF(AND(Y112=1,X112="",J112&lt;&gt;"Cancelado",NOT(OR(J112="Fechado",J112="Resolvido"))),1,0)</x:f>
        <x:v>0</x:v>
      </x:c>
      <x:c r="AA112" s="194" t="n">
        <x:f>IF(AND(Y112=1,X112="",OR(J112="Fechado",J112="Resolvido")),1,0)</x:f>
        <x:v>0</x:v>
      </x:c>
      <x:c r="AB112" s="194" t="n">
        <x:f>IF(Y112=0,0,IF(X112&lt;&gt;"",1,IF(Z112=0,0,IF(P112="ATRASADO",2,IF(AND(M112="ATRASADO",L112=""),3,IF(V112="ESCALAR",4,IF(V112="REVISAR BACKLOG",5,0)))))))</x:f>
        <x:v>0</x:v>
      </x:c>
      <x:c r="AC112" s="194" t="str">
        <x:f>IF(AB112=0,"",COUNTIFS($AB$5:$AB$204,"&gt;0",$AB$5:$AB$204,"&lt;"&amp;AB112)+COUNTIFS($AB$5:AB112,AB112))</x:f>
      </x:c>
      <x:c r="AD112" s="194" t="n">
        <x:f>IF(AND(A112&lt;&gt;"",X112=""),1,0)</x:f>
        <x:v>0</x:v>
      </x:c>
      <x:c r="AE112" s="194" t="n">
        <x:f>IF(AND(Y112=1,X112&lt;&gt;""),1,0)</x:f>
        <x:v>0</x:v>
      </x:c>
      <x:c r="AF112" s="194" t="n">
        <x:f>IF(L112="",1,0)</x:f>
        <x:v>1</x:v>
      </x:c>
    </x:row>
    <x:row r="113">
      <x:c r="A113" s="28"/>
      <x:c r="B113" s="41"/>
      <x:c r="C113" s="28"/>
      <x:c r="D113" s="28"/>
      <x:c r="E113" s="28"/>
      <x:c r="F113" s="28"/>
      <x:c r="G113" s="28"/>
      <x:c r="H113" s="28"/>
      <x:c r="I113" s="28"/>
      <x:c r="J113" s="28"/>
      <x:c r="K113" s="54" t="str">
        <x:f>IF(OR(A113="",X113&lt;&gt;""),"",B113+INDEX(Listas!$B$6:$B$9,MATCH(H113,Listas!$A$6:$A$9,0))/24)</x:f>
      </x:c>
      <x:c r="L113" s="41"/>
      <x:c r="M113" s="55" t="str">
        <x:f>IF(A113="","",IF(X113&lt;&gt;"","DADO PENDENTE",IF(J113="Cancelado","N.A.",IF(L113&lt;&gt;"",IF(L113&lt;=K113,"ATENDIDO","ATRASADO"),IF(OR(J113="Fechado",J113="Resolvido"),"SEM EVIDÊNCIA",IF(Listas!$B$18&gt;K113,"ATRASADO","PENDENTE"))))))</x:f>
      </x:c>
      <x:c r="N113" s="54" t="str">
        <x:f>IF(OR(A113="",X113&lt;&gt;""),"",B113+INDEX(Listas!$C$6:$C$9,MATCH(H113,Listas!$A$6:$A$9,0))/24)</x:f>
      </x:c>
      <x:c r="O113" s="41"/>
      <x:c r="P113" s="55" t="str">
        <x:f>IF(A113="","",IF(X113&lt;&gt;"","DADO PENDENTE",IF(J113="Cancelado","N.A.",IF(OR(J113="Fechado",J113="Resolvido"),IF(O113&lt;=N113,"ATENDIDO","ATRASADO"),IF(Listas!$B$18&gt;N113,"ATRASADO","PENDENTE")))))</x:f>
      </x:c>
      <x:c r="Q113" s="56" t="str">
        <x:f>IF(OR(A113="",X113&lt;&gt;"",J113="Cancelado"),"",24*IF(OR(J113="Fechado",J113="Resolvido"),O113-B113,Listas!$B$18-B113))</x:f>
      </x:c>
      <x:c r="R113" s="57" t="str">
        <x:f>IF(OR(A113="",X113&lt;&gt;"",J113="Cancelado"),"",INT(IF(OR(J113="Fechado",J113="Resolvido"),O113-B113,Listas!$B$18-B113)))</x:f>
      </x:c>
      <x:c r="S113" s="58"/>
      <x:c r="T113" s="58"/>
      <x:c r="U113" s="57" t="str">
        <x:f>IF(OR(A113="",X113&lt;&gt;"",J113="Cancelado"),"",S113*T113)</x:f>
      </x:c>
      <x:c r="V113" s="55" t="str">
        <x:f>IF(A113="","",IF(X113&lt;&gt;"","CORRIGIR DADOS",IF(J113="Cancelado","CANCELADO",IF(OR(J113="Fechado",J113="Resolvido"),"CONCLUÍDO",IF(OR(P113="ATRASADO",U113&gt;=Listas!$B$16),"ESCALAR",IF(AND(M113="ATRASADO",L113=""),"RESPONDER AGORA",IF(R113&gt;=Listas!$B$14,"REVISAR BACKLOG","ACOMPANHAR")))))))</x:f>
      </x:c>
      <x:c r="W113" s="28"/>
      <x:c r="X113" s="194" t="str">
        <x:f>IF(COUNTA(A113:J113,L113,O113,S113:T113,W113)=0,"",IF(OR(NOT(ISNUMBER(Listas!$B$14)),Listas!$B$14&lt;0,NOT(ISNUMBER(Listas!$B$16)),Listas!$B$16&lt;1,COUNT(Listas!$B$6:$C$9)&lt;&gt;8,MIN(Listas!$B$6:$C$9)&lt;=0),"Parâmetros inválidos",IF(A113="","ID ausente",IF(COUNTIFS($A$5:$A$204,A113)&lt;&gt;1,"ID duplicado",IF(OR(NOT(ISNUMBER(B113)),B113&lt;=0),"Abertura inválida",IF(OR(NOT(ISNUMBER(Listas!$B$18)),Listas!$B$18&lt;=0),"Data da análise inválida",IF(B113&gt;Listas!$B$18,"Abertura após análise",IF(COUNTIFS(Listas!$A$6:$A$9,H113)&lt;&gt;1,"Prioridade inválida",IF(COUNTIFS(Equipe!$A$5:$A$12,I113)&lt;&gt;1,"Responsável inválido",IF(COUNTIFS(Listas!$E$6:$E$11,J113)&lt;&gt;1,"Status inválido",IF(AND(L113&lt;&gt;"",OR(NOT(ISNUMBER(L113)),L113&lt;B113,L113&gt;Listas!$B$18)),"Resposta inválida",IF(AND(O113&lt;&gt;"",OR(NOT(ISNUMBER(O113)),O113&lt;B113,O113&gt;Listas!$B$18)),"Resolução inválida",IF(AND(OR(J113="Fechado",J113="Resolvido"),O113=""),"Conclusão sem resolução",IF(OR(NOT(ISNUMBER(S113)),S113&lt;1,S113&gt;5,IF(ISNUMBER(S113),S113&lt;&gt;INT(S113),FALSE),NOT(ISNUMBER(T113)),T113&lt;1,T113&gt;5,IF(ISNUMBER(T113),T113&lt;&gt;INT(T113),FALSE)),"Impacto ou urgência inválido",""))))))))))))))</x:f>
      </x:c>
      <x:c r="Y113" s="194" t="n">
        <x:f>IF(AND(COUNTA(A113:J113,L113,O113,S113:T113,W113)&gt;0,OR(Listas!$B$20="Todos",I113=Listas!$B$20)),1,0)</x:f>
        <x:v>0</x:v>
      </x:c>
      <x:c r="Z113" s="194" t="n">
        <x:f>IF(AND(Y113=1,X113="",J113&lt;&gt;"Cancelado",NOT(OR(J113="Fechado",J113="Resolvido"))),1,0)</x:f>
        <x:v>0</x:v>
      </x:c>
      <x:c r="AA113" s="194" t="n">
        <x:f>IF(AND(Y113=1,X113="",OR(J113="Fechado",J113="Resolvido")),1,0)</x:f>
        <x:v>0</x:v>
      </x:c>
      <x:c r="AB113" s="194" t="n">
        <x:f>IF(Y113=0,0,IF(X113&lt;&gt;"",1,IF(Z113=0,0,IF(P113="ATRASADO",2,IF(AND(M113="ATRASADO",L113=""),3,IF(V113="ESCALAR",4,IF(V113="REVISAR BACKLOG",5,0)))))))</x:f>
        <x:v>0</x:v>
      </x:c>
      <x:c r="AC113" s="194" t="str">
        <x:f>IF(AB113=0,"",COUNTIFS($AB$5:$AB$204,"&gt;0",$AB$5:$AB$204,"&lt;"&amp;AB113)+COUNTIFS($AB$5:AB113,AB113))</x:f>
      </x:c>
      <x:c r="AD113" s="194" t="n">
        <x:f>IF(AND(A113&lt;&gt;"",X113=""),1,0)</x:f>
        <x:v>0</x:v>
      </x:c>
      <x:c r="AE113" s="194" t="n">
        <x:f>IF(AND(Y113=1,X113&lt;&gt;""),1,0)</x:f>
        <x:v>0</x:v>
      </x:c>
      <x:c r="AF113" s="194" t="n">
        <x:f>IF(L113="",1,0)</x:f>
        <x:v>1</x:v>
      </x:c>
    </x:row>
    <x:row r="114">
      <x:c r="A114" s="28"/>
      <x:c r="B114" s="41"/>
      <x:c r="C114" s="28"/>
      <x:c r="D114" s="28"/>
      <x:c r="E114" s="28"/>
      <x:c r="F114" s="28"/>
      <x:c r="G114" s="28"/>
      <x:c r="H114" s="28"/>
      <x:c r="I114" s="28"/>
      <x:c r="J114" s="28"/>
      <x:c r="K114" s="54" t="str">
        <x:f>IF(OR(A114="",X114&lt;&gt;""),"",B114+INDEX(Listas!$B$6:$B$9,MATCH(H114,Listas!$A$6:$A$9,0))/24)</x:f>
      </x:c>
      <x:c r="L114" s="41"/>
      <x:c r="M114" s="55" t="str">
        <x:f>IF(A114="","",IF(X114&lt;&gt;"","DADO PENDENTE",IF(J114="Cancelado","N.A.",IF(L114&lt;&gt;"",IF(L114&lt;=K114,"ATENDIDO","ATRASADO"),IF(OR(J114="Fechado",J114="Resolvido"),"SEM EVIDÊNCIA",IF(Listas!$B$18&gt;K114,"ATRASADO","PENDENTE"))))))</x:f>
      </x:c>
      <x:c r="N114" s="54" t="str">
        <x:f>IF(OR(A114="",X114&lt;&gt;""),"",B114+INDEX(Listas!$C$6:$C$9,MATCH(H114,Listas!$A$6:$A$9,0))/24)</x:f>
      </x:c>
      <x:c r="O114" s="41"/>
      <x:c r="P114" s="55" t="str">
        <x:f>IF(A114="","",IF(X114&lt;&gt;"","DADO PENDENTE",IF(J114="Cancelado","N.A.",IF(OR(J114="Fechado",J114="Resolvido"),IF(O114&lt;=N114,"ATENDIDO","ATRASADO"),IF(Listas!$B$18&gt;N114,"ATRASADO","PENDENTE")))))</x:f>
      </x:c>
      <x:c r="Q114" s="56" t="str">
        <x:f>IF(OR(A114="",X114&lt;&gt;"",J114="Cancelado"),"",24*IF(OR(J114="Fechado",J114="Resolvido"),O114-B114,Listas!$B$18-B114))</x:f>
      </x:c>
      <x:c r="R114" s="57" t="str">
        <x:f>IF(OR(A114="",X114&lt;&gt;"",J114="Cancelado"),"",INT(IF(OR(J114="Fechado",J114="Resolvido"),O114-B114,Listas!$B$18-B114)))</x:f>
      </x:c>
      <x:c r="S114" s="58"/>
      <x:c r="T114" s="58"/>
      <x:c r="U114" s="57" t="str">
        <x:f>IF(OR(A114="",X114&lt;&gt;"",J114="Cancelado"),"",S114*T114)</x:f>
      </x:c>
      <x:c r="V114" s="55" t="str">
        <x:f>IF(A114="","",IF(X114&lt;&gt;"","CORRIGIR DADOS",IF(J114="Cancelado","CANCELADO",IF(OR(J114="Fechado",J114="Resolvido"),"CONCLUÍDO",IF(OR(P114="ATRASADO",U114&gt;=Listas!$B$16),"ESCALAR",IF(AND(M114="ATRASADO",L114=""),"RESPONDER AGORA",IF(R114&gt;=Listas!$B$14,"REVISAR BACKLOG","ACOMPANHAR")))))))</x:f>
      </x:c>
      <x:c r="W114" s="28"/>
      <x:c r="X114" s="194" t="str">
        <x:f>IF(COUNTA(A114:J114,L114,O114,S114:T114,W114)=0,"",IF(OR(NOT(ISNUMBER(Listas!$B$14)),Listas!$B$14&lt;0,NOT(ISNUMBER(Listas!$B$16)),Listas!$B$16&lt;1,COUNT(Listas!$B$6:$C$9)&lt;&gt;8,MIN(Listas!$B$6:$C$9)&lt;=0),"Parâmetros inválidos",IF(A114="","ID ausente",IF(COUNTIFS($A$5:$A$204,A114)&lt;&gt;1,"ID duplicado",IF(OR(NOT(ISNUMBER(B114)),B114&lt;=0),"Abertura inválida",IF(OR(NOT(ISNUMBER(Listas!$B$18)),Listas!$B$18&lt;=0),"Data da análise inválida",IF(B114&gt;Listas!$B$18,"Abertura após análise",IF(COUNTIFS(Listas!$A$6:$A$9,H114)&lt;&gt;1,"Prioridade inválida",IF(COUNTIFS(Equipe!$A$5:$A$12,I114)&lt;&gt;1,"Responsável inválido",IF(COUNTIFS(Listas!$E$6:$E$11,J114)&lt;&gt;1,"Status inválido",IF(AND(L114&lt;&gt;"",OR(NOT(ISNUMBER(L114)),L114&lt;B114,L114&gt;Listas!$B$18)),"Resposta inválida",IF(AND(O114&lt;&gt;"",OR(NOT(ISNUMBER(O114)),O114&lt;B114,O114&gt;Listas!$B$18)),"Resolução inválida",IF(AND(OR(J114="Fechado",J114="Resolvido"),O114=""),"Conclusão sem resolução",IF(OR(NOT(ISNUMBER(S114)),S114&lt;1,S114&gt;5,IF(ISNUMBER(S114),S114&lt;&gt;INT(S114),FALSE),NOT(ISNUMBER(T114)),T114&lt;1,T114&gt;5,IF(ISNUMBER(T114),T114&lt;&gt;INT(T114),FALSE)),"Impacto ou urgência inválido",""))))))))))))))</x:f>
      </x:c>
      <x:c r="Y114" s="194" t="n">
        <x:f>IF(AND(COUNTA(A114:J114,L114,O114,S114:T114,W114)&gt;0,OR(Listas!$B$20="Todos",I114=Listas!$B$20)),1,0)</x:f>
        <x:v>0</x:v>
      </x:c>
      <x:c r="Z114" s="194" t="n">
        <x:f>IF(AND(Y114=1,X114="",J114&lt;&gt;"Cancelado",NOT(OR(J114="Fechado",J114="Resolvido"))),1,0)</x:f>
        <x:v>0</x:v>
      </x:c>
      <x:c r="AA114" s="194" t="n">
        <x:f>IF(AND(Y114=1,X114="",OR(J114="Fechado",J114="Resolvido")),1,0)</x:f>
        <x:v>0</x:v>
      </x:c>
      <x:c r="AB114" s="194" t="n">
        <x:f>IF(Y114=0,0,IF(X114&lt;&gt;"",1,IF(Z114=0,0,IF(P114="ATRASADO",2,IF(AND(M114="ATRASADO",L114=""),3,IF(V114="ESCALAR",4,IF(V114="REVISAR BACKLOG",5,0)))))))</x:f>
        <x:v>0</x:v>
      </x:c>
      <x:c r="AC114" s="194" t="str">
        <x:f>IF(AB114=0,"",COUNTIFS($AB$5:$AB$204,"&gt;0",$AB$5:$AB$204,"&lt;"&amp;AB114)+COUNTIFS($AB$5:AB114,AB114))</x:f>
      </x:c>
      <x:c r="AD114" s="194" t="n">
        <x:f>IF(AND(A114&lt;&gt;"",X114=""),1,0)</x:f>
        <x:v>0</x:v>
      </x:c>
      <x:c r="AE114" s="194" t="n">
        <x:f>IF(AND(Y114=1,X114&lt;&gt;""),1,0)</x:f>
        <x:v>0</x:v>
      </x:c>
      <x:c r="AF114" s="194" t="n">
        <x:f>IF(L114="",1,0)</x:f>
        <x:v>1</x:v>
      </x:c>
    </x:row>
    <x:row r="115">
      <x:c r="A115" s="28"/>
      <x:c r="B115" s="41"/>
      <x:c r="C115" s="28"/>
      <x:c r="D115" s="28"/>
      <x:c r="E115" s="28"/>
      <x:c r="F115" s="28"/>
      <x:c r="G115" s="28"/>
      <x:c r="H115" s="28"/>
      <x:c r="I115" s="28"/>
      <x:c r="J115" s="28"/>
      <x:c r="K115" s="54" t="str">
        <x:f>IF(OR(A115="",X115&lt;&gt;""),"",B115+INDEX(Listas!$B$6:$B$9,MATCH(H115,Listas!$A$6:$A$9,0))/24)</x:f>
      </x:c>
      <x:c r="L115" s="41"/>
      <x:c r="M115" s="55" t="str">
        <x:f>IF(A115="","",IF(X115&lt;&gt;"","DADO PENDENTE",IF(J115="Cancelado","N.A.",IF(L115&lt;&gt;"",IF(L115&lt;=K115,"ATENDIDO","ATRASADO"),IF(OR(J115="Fechado",J115="Resolvido"),"SEM EVIDÊNCIA",IF(Listas!$B$18&gt;K115,"ATRASADO","PENDENTE"))))))</x:f>
      </x:c>
      <x:c r="N115" s="54" t="str">
        <x:f>IF(OR(A115="",X115&lt;&gt;""),"",B115+INDEX(Listas!$C$6:$C$9,MATCH(H115,Listas!$A$6:$A$9,0))/24)</x:f>
      </x:c>
      <x:c r="O115" s="41"/>
      <x:c r="P115" s="55" t="str">
        <x:f>IF(A115="","",IF(X115&lt;&gt;"","DADO PENDENTE",IF(J115="Cancelado","N.A.",IF(OR(J115="Fechado",J115="Resolvido"),IF(O115&lt;=N115,"ATENDIDO","ATRASADO"),IF(Listas!$B$18&gt;N115,"ATRASADO","PENDENTE")))))</x:f>
      </x:c>
      <x:c r="Q115" s="56" t="str">
        <x:f>IF(OR(A115="",X115&lt;&gt;"",J115="Cancelado"),"",24*IF(OR(J115="Fechado",J115="Resolvido"),O115-B115,Listas!$B$18-B115))</x:f>
      </x:c>
      <x:c r="R115" s="57" t="str">
        <x:f>IF(OR(A115="",X115&lt;&gt;"",J115="Cancelado"),"",INT(IF(OR(J115="Fechado",J115="Resolvido"),O115-B115,Listas!$B$18-B115)))</x:f>
      </x:c>
      <x:c r="S115" s="58"/>
      <x:c r="T115" s="58"/>
      <x:c r="U115" s="57" t="str">
        <x:f>IF(OR(A115="",X115&lt;&gt;"",J115="Cancelado"),"",S115*T115)</x:f>
      </x:c>
      <x:c r="V115" s="55" t="str">
        <x:f>IF(A115="","",IF(X115&lt;&gt;"","CORRIGIR DADOS",IF(J115="Cancelado","CANCELADO",IF(OR(J115="Fechado",J115="Resolvido"),"CONCLUÍDO",IF(OR(P115="ATRASADO",U115&gt;=Listas!$B$16),"ESCALAR",IF(AND(M115="ATRASADO",L115=""),"RESPONDER AGORA",IF(R115&gt;=Listas!$B$14,"REVISAR BACKLOG","ACOMPANHAR")))))))</x:f>
      </x:c>
      <x:c r="W115" s="28"/>
      <x:c r="X115" s="194" t="str">
        <x:f>IF(COUNTA(A115:J115,L115,O115,S115:T115,W115)=0,"",IF(OR(NOT(ISNUMBER(Listas!$B$14)),Listas!$B$14&lt;0,NOT(ISNUMBER(Listas!$B$16)),Listas!$B$16&lt;1,COUNT(Listas!$B$6:$C$9)&lt;&gt;8,MIN(Listas!$B$6:$C$9)&lt;=0),"Parâmetros inválidos",IF(A115="","ID ausente",IF(COUNTIFS($A$5:$A$204,A115)&lt;&gt;1,"ID duplicado",IF(OR(NOT(ISNUMBER(B115)),B115&lt;=0),"Abertura inválida",IF(OR(NOT(ISNUMBER(Listas!$B$18)),Listas!$B$18&lt;=0),"Data da análise inválida",IF(B115&gt;Listas!$B$18,"Abertura após análise",IF(COUNTIFS(Listas!$A$6:$A$9,H115)&lt;&gt;1,"Prioridade inválida",IF(COUNTIFS(Equipe!$A$5:$A$12,I115)&lt;&gt;1,"Responsável inválido",IF(COUNTIFS(Listas!$E$6:$E$11,J115)&lt;&gt;1,"Status inválido",IF(AND(L115&lt;&gt;"",OR(NOT(ISNUMBER(L115)),L115&lt;B115,L115&gt;Listas!$B$18)),"Resposta inválida",IF(AND(O115&lt;&gt;"",OR(NOT(ISNUMBER(O115)),O115&lt;B115,O115&gt;Listas!$B$18)),"Resolução inválida",IF(AND(OR(J115="Fechado",J115="Resolvido"),O115=""),"Conclusão sem resolução",IF(OR(NOT(ISNUMBER(S115)),S115&lt;1,S115&gt;5,IF(ISNUMBER(S115),S115&lt;&gt;INT(S115),FALSE),NOT(ISNUMBER(T115)),T115&lt;1,T115&gt;5,IF(ISNUMBER(T115),T115&lt;&gt;INT(T115),FALSE)),"Impacto ou urgência inválido",""))))))))))))))</x:f>
      </x:c>
      <x:c r="Y115" s="194" t="n">
        <x:f>IF(AND(COUNTA(A115:J115,L115,O115,S115:T115,W115)&gt;0,OR(Listas!$B$20="Todos",I115=Listas!$B$20)),1,0)</x:f>
        <x:v>0</x:v>
      </x:c>
      <x:c r="Z115" s="194" t="n">
        <x:f>IF(AND(Y115=1,X115="",J115&lt;&gt;"Cancelado",NOT(OR(J115="Fechado",J115="Resolvido"))),1,0)</x:f>
        <x:v>0</x:v>
      </x:c>
      <x:c r="AA115" s="194" t="n">
        <x:f>IF(AND(Y115=1,X115="",OR(J115="Fechado",J115="Resolvido")),1,0)</x:f>
        <x:v>0</x:v>
      </x:c>
      <x:c r="AB115" s="194" t="n">
        <x:f>IF(Y115=0,0,IF(X115&lt;&gt;"",1,IF(Z115=0,0,IF(P115="ATRASADO",2,IF(AND(M115="ATRASADO",L115=""),3,IF(V115="ESCALAR",4,IF(V115="REVISAR BACKLOG",5,0)))))))</x:f>
        <x:v>0</x:v>
      </x:c>
      <x:c r="AC115" s="194" t="str">
        <x:f>IF(AB115=0,"",COUNTIFS($AB$5:$AB$204,"&gt;0",$AB$5:$AB$204,"&lt;"&amp;AB115)+COUNTIFS($AB$5:AB115,AB115))</x:f>
      </x:c>
      <x:c r="AD115" s="194" t="n">
        <x:f>IF(AND(A115&lt;&gt;"",X115=""),1,0)</x:f>
        <x:v>0</x:v>
      </x:c>
      <x:c r="AE115" s="194" t="n">
        <x:f>IF(AND(Y115=1,X115&lt;&gt;""),1,0)</x:f>
        <x:v>0</x:v>
      </x:c>
      <x:c r="AF115" s="194" t="n">
        <x:f>IF(L115="",1,0)</x:f>
        <x:v>1</x:v>
      </x:c>
    </x:row>
    <x:row r="116">
      <x:c r="A116" s="28"/>
      <x:c r="B116" s="41"/>
      <x:c r="C116" s="28"/>
      <x:c r="D116" s="28"/>
      <x:c r="E116" s="28"/>
      <x:c r="F116" s="28"/>
      <x:c r="G116" s="28"/>
      <x:c r="H116" s="28"/>
      <x:c r="I116" s="28"/>
      <x:c r="J116" s="28"/>
      <x:c r="K116" s="54" t="str">
        <x:f>IF(OR(A116="",X116&lt;&gt;""),"",B116+INDEX(Listas!$B$6:$B$9,MATCH(H116,Listas!$A$6:$A$9,0))/24)</x:f>
      </x:c>
      <x:c r="L116" s="41"/>
      <x:c r="M116" s="55" t="str">
        <x:f>IF(A116="","",IF(X116&lt;&gt;"","DADO PENDENTE",IF(J116="Cancelado","N.A.",IF(L116&lt;&gt;"",IF(L116&lt;=K116,"ATENDIDO","ATRASADO"),IF(OR(J116="Fechado",J116="Resolvido"),"SEM EVIDÊNCIA",IF(Listas!$B$18&gt;K116,"ATRASADO","PENDENTE"))))))</x:f>
      </x:c>
      <x:c r="N116" s="54" t="str">
        <x:f>IF(OR(A116="",X116&lt;&gt;""),"",B116+INDEX(Listas!$C$6:$C$9,MATCH(H116,Listas!$A$6:$A$9,0))/24)</x:f>
      </x:c>
      <x:c r="O116" s="41"/>
      <x:c r="P116" s="55" t="str">
        <x:f>IF(A116="","",IF(X116&lt;&gt;"","DADO PENDENTE",IF(J116="Cancelado","N.A.",IF(OR(J116="Fechado",J116="Resolvido"),IF(O116&lt;=N116,"ATENDIDO","ATRASADO"),IF(Listas!$B$18&gt;N116,"ATRASADO","PENDENTE")))))</x:f>
      </x:c>
      <x:c r="Q116" s="56" t="str">
        <x:f>IF(OR(A116="",X116&lt;&gt;"",J116="Cancelado"),"",24*IF(OR(J116="Fechado",J116="Resolvido"),O116-B116,Listas!$B$18-B116))</x:f>
      </x:c>
      <x:c r="R116" s="57" t="str">
        <x:f>IF(OR(A116="",X116&lt;&gt;"",J116="Cancelado"),"",INT(IF(OR(J116="Fechado",J116="Resolvido"),O116-B116,Listas!$B$18-B116)))</x:f>
      </x:c>
      <x:c r="S116" s="58"/>
      <x:c r="T116" s="58"/>
      <x:c r="U116" s="57" t="str">
        <x:f>IF(OR(A116="",X116&lt;&gt;"",J116="Cancelado"),"",S116*T116)</x:f>
      </x:c>
      <x:c r="V116" s="55" t="str">
        <x:f>IF(A116="","",IF(X116&lt;&gt;"","CORRIGIR DADOS",IF(J116="Cancelado","CANCELADO",IF(OR(J116="Fechado",J116="Resolvido"),"CONCLUÍDO",IF(OR(P116="ATRASADO",U116&gt;=Listas!$B$16),"ESCALAR",IF(AND(M116="ATRASADO",L116=""),"RESPONDER AGORA",IF(R116&gt;=Listas!$B$14,"REVISAR BACKLOG","ACOMPANHAR")))))))</x:f>
      </x:c>
      <x:c r="W116" s="28"/>
      <x:c r="X116" s="194" t="str">
        <x:f>IF(COUNTA(A116:J116,L116,O116,S116:T116,W116)=0,"",IF(OR(NOT(ISNUMBER(Listas!$B$14)),Listas!$B$14&lt;0,NOT(ISNUMBER(Listas!$B$16)),Listas!$B$16&lt;1,COUNT(Listas!$B$6:$C$9)&lt;&gt;8,MIN(Listas!$B$6:$C$9)&lt;=0),"Parâmetros inválidos",IF(A116="","ID ausente",IF(COUNTIFS($A$5:$A$204,A116)&lt;&gt;1,"ID duplicado",IF(OR(NOT(ISNUMBER(B116)),B116&lt;=0),"Abertura inválida",IF(OR(NOT(ISNUMBER(Listas!$B$18)),Listas!$B$18&lt;=0),"Data da análise inválida",IF(B116&gt;Listas!$B$18,"Abertura após análise",IF(COUNTIFS(Listas!$A$6:$A$9,H116)&lt;&gt;1,"Prioridade inválida",IF(COUNTIFS(Equipe!$A$5:$A$12,I116)&lt;&gt;1,"Responsável inválido",IF(COUNTIFS(Listas!$E$6:$E$11,J116)&lt;&gt;1,"Status inválido",IF(AND(L116&lt;&gt;"",OR(NOT(ISNUMBER(L116)),L116&lt;B116,L116&gt;Listas!$B$18)),"Resposta inválida",IF(AND(O116&lt;&gt;"",OR(NOT(ISNUMBER(O116)),O116&lt;B116,O116&gt;Listas!$B$18)),"Resolução inválida",IF(AND(OR(J116="Fechado",J116="Resolvido"),O116=""),"Conclusão sem resolução",IF(OR(NOT(ISNUMBER(S116)),S116&lt;1,S116&gt;5,IF(ISNUMBER(S116),S116&lt;&gt;INT(S116),FALSE),NOT(ISNUMBER(T116)),T116&lt;1,T116&gt;5,IF(ISNUMBER(T116),T116&lt;&gt;INT(T116),FALSE)),"Impacto ou urgência inválido",""))))))))))))))</x:f>
      </x:c>
      <x:c r="Y116" s="194" t="n">
        <x:f>IF(AND(COUNTA(A116:J116,L116,O116,S116:T116,W116)&gt;0,OR(Listas!$B$20="Todos",I116=Listas!$B$20)),1,0)</x:f>
        <x:v>0</x:v>
      </x:c>
      <x:c r="Z116" s="194" t="n">
        <x:f>IF(AND(Y116=1,X116="",J116&lt;&gt;"Cancelado",NOT(OR(J116="Fechado",J116="Resolvido"))),1,0)</x:f>
        <x:v>0</x:v>
      </x:c>
      <x:c r="AA116" s="194" t="n">
        <x:f>IF(AND(Y116=1,X116="",OR(J116="Fechado",J116="Resolvido")),1,0)</x:f>
        <x:v>0</x:v>
      </x:c>
      <x:c r="AB116" s="194" t="n">
        <x:f>IF(Y116=0,0,IF(X116&lt;&gt;"",1,IF(Z116=0,0,IF(P116="ATRASADO",2,IF(AND(M116="ATRASADO",L116=""),3,IF(V116="ESCALAR",4,IF(V116="REVISAR BACKLOG",5,0)))))))</x:f>
        <x:v>0</x:v>
      </x:c>
      <x:c r="AC116" s="194" t="str">
        <x:f>IF(AB116=0,"",COUNTIFS($AB$5:$AB$204,"&gt;0",$AB$5:$AB$204,"&lt;"&amp;AB116)+COUNTIFS($AB$5:AB116,AB116))</x:f>
      </x:c>
      <x:c r="AD116" s="194" t="n">
        <x:f>IF(AND(A116&lt;&gt;"",X116=""),1,0)</x:f>
        <x:v>0</x:v>
      </x:c>
      <x:c r="AE116" s="194" t="n">
        <x:f>IF(AND(Y116=1,X116&lt;&gt;""),1,0)</x:f>
        <x:v>0</x:v>
      </x:c>
      <x:c r="AF116" s="194" t="n">
        <x:f>IF(L116="",1,0)</x:f>
        <x:v>1</x:v>
      </x:c>
    </x:row>
    <x:row r="117">
      <x:c r="A117" s="28"/>
      <x:c r="B117" s="41"/>
      <x:c r="C117" s="28"/>
      <x:c r="D117" s="28"/>
      <x:c r="E117" s="28"/>
      <x:c r="F117" s="28"/>
      <x:c r="G117" s="28"/>
      <x:c r="H117" s="28"/>
      <x:c r="I117" s="28"/>
      <x:c r="J117" s="28"/>
      <x:c r="K117" s="54" t="str">
        <x:f>IF(OR(A117="",X117&lt;&gt;""),"",B117+INDEX(Listas!$B$6:$B$9,MATCH(H117,Listas!$A$6:$A$9,0))/24)</x:f>
      </x:c>
      <x:c r="L117" s="41"/>
      <x:c r="M117" s="55" t="str">
        <x:f>IF(A117="","",IF(X117&lt;&gt;"","DADO PENDENTE",IF(J117="Cancelado","N.A.",IF(L117&lt;&gt;"",IF(L117&lt;=K117,"ATENDIDO","ATRASADO"),IF(OR(J117="Fechado",J117="Resolvido"),"SEM EVIDÊNCIA",IF(Listas!$B$18&gt;K117,"ATRASADO","PENDENTE"))))))</x:f>
      </x:c>
      <x:c r="N117" s="54" t="str">
        <x:f>IF(OR(A117="",X117&lt;&gt;""),"",B117+INDEX(Listas!$C$6:$C$9,MATCH(H117,Listas!$A$6:$A$9,0))/24)</x:f>
      </x:c>
      <x:c r="O117" s="41"/>
      <x:c r="P117" s="55" t="str">
        <x:f>IF(A117="","",IF(X117&lt;&gt;"","DADO PENDENTE",IF(J117="Cancelado","N.A.",IF(OR(J117="Fechado",J117="Resolvido"),IF(O117&lt;=N117,"ATENDIDO","ATRASADO"),IF(Listas!$B$18&gt;N117,"ATRASADO","PENDENTE")))))</x:f>
      </x:c>
      <x:c r="Q117" s="56" t="str">
        <x:f>IF(OR(A117="",X117&lt;&gt;"",J117="Cancelado"),"",24*IF(OR(J117="Fechado",J117="Resolvido"),O117-B117,Listas!$B$18-B117))</x:f>
      </x:c>
      <x:c r="R117" s="57" t="str">
        <x:f>IF(OR(A117="",X117&lt;&gt;"",J117="Cancelado"),"",INT(IF(OR(J117="Fechado",J117="Resolvido"),O117-B117,Listas!$B$18-B117)))</x:f>
      </x:c>
      <x:c r="S117" s="58"/>
      <x:c r="T117" s="58"/>
      <x:c r="U117" s="57" t="str">
        <x:f>IF(OR(A117="",X117&lt;&gt;"",J117="Cancelado"),"",S117*T117)</x:f>
      </x:c>
      <x:c r="V117" s="55" t="str">
        <x:f>IF(A117="","",IF(X117&lt;&gt;"","CORRIGIR DADOS",IF(J117="Cancelado","CANCELADO",IF(OR(J117="Fechado",J117="Resolvido"),"CONCLUÍDO",IF(OR(P117="ATRASADO",U117&gt;=Listas!$B$16),"ESCALAR",IF(AND(M117="ATRASADO",L117=""),"RESPONDER AGORA",IF(R117&gt;=Listas!$B$14,"REVISAR BACKLOG","ACOMPANHAR")))))))</x:f>
      </x:c>
      <x:c r="W117" s="28"/>
      <x:c r="X117" s="194" t="str">
        <x:f>IF(COUNTA(A117:J117,L117,O117,S117:T117,W117)=0,"",IF(OR(NOT(ISNUMBER(Listas!$B$14)),Listas!$B$14&lt;0,NOT(ISNUMBER(Listas!$B$16)),Listas!$B$16&lt;1,COUNT(Listas!$B$6:$C$9)&lt;&gt;8,MIN(Listas!$B$6:$C$9)&lt;=0),"Parâmetros inválidos",IF(A117="","ID ausente",IF(COUNTIFS($A$5:$A$204,A117)&lt;&gt;1,"ID duplicado",IF(OR(NOT(ISNUMBER(B117)),B117&lt;=0),"Abertura inválida",IF(OR(NOT(ISNUMBER(Listas!$B$18)),Listas!$B$18&lt;=0),"Data da análise inválida",IF(B117&gt;Listas!$B$18,"Abertura após análise",IF(COUNTIFS(Listas!$A$6:$A$9,H117)&lt;&gt;1,"Prioridade inválida",IF(COUNTIFS(Equipe!$A$5:$A$12,I117)&lt;&gt;1,"Responsável inválido",IF(COUNTIFS(Listas!$E$6:$E$11,J117)&lt;&gt;1,"Status inválido",IF(AND(L117&lt;&gt;"",OR(NOT(ISNUMBER(L117)),L117&lt;B117,L117&gt;Listas!$B$18)),"Resposta inválida",IF(AND(O117&lt;&gt;"",OR(NOT(ISNUMBER(O117)),O117&lt;B117,O117&gt;Listas!$B$18)),"Resolução inválida",IF(AND(OR(J117="Fechado",J117="Resolvido"),O117=""),"Conclusão sem resolução",IF(OR(NOT(ISNUMBER(S117)),S117&lt;1,S117&gt;5,IF(ISNUMBER(S117),S117&lt;&gt;INT(S117),FALSE),NOT(ISNUMBER(T117)),T117&lt;1,T117&gt;5,IF(ISNUMBER(T117),T117&lt;&gt;INT(T117),FALSE)),"Impacto ou urgência inválido",""))))))))))))))</x:f>
      </x:c>
      <x:c r="Y117" s="194" t="n">
        <x:f>IF(AND(COUNTA(A117:J117,L117,O117,S117:T117,W117)&gt;0,OR(Listas!$B$20="Todos",I117=Listas!$B$20)),1,0)</x:f>
        <x:v>0</x:v>
      </x:c>
      <x:c r="Z117" s="194" t="n">
        <x:f>IF(AND(Y117=1,X117="",J117&lt;&gt;"Cancelado",NOT(OR(J117="Fechado",J117="Resolvido"))),1,0)</x:f>
        <x:v>0</x:v>
      </x:c>
      <x:c r="AA117" s="194" t="n">
        <x:f>IF(AND(Y117=1,X117="",OR(J117="Fechado",J117="Resolvido")),1,0)</x:f>
        <x:v>0</x:v>
      </x:c>
      <x:c r="AB117" s="194" t="n">
        <x:f>IF(Y117=0,0,IF(X117&lt;&gt;"",1,IF(Z117=0,0,IF(P117="ATRASADO",2,IF(AND(M117="ATRASADO",L117=""),3,IF(V117="ESCALAR",4,IF(V117="REVISAR BACKLOG",5,0)))))))</x:f>
        <x:v>0</x:v>
      </x:c>
      <x:c r="AC117" s="194" t="str">
        <x:f>IF(AB117=0,"",COUNTIFS($AB$5:$AB$204,"&gt;0",$AB$5:$AB$204,"&lt;"&amp;AB117)+COUNTIFS($AB$5:AB117,AB117))</x:f>
      </x:c>
      <x:c r="AD117" s="194" t="n">
        <x:f>IF(AND(A117&lt;&gt;"",X117=""),1,0)</x:f>
        <x:v>0</x:v>
      </x:c>
      <x:c r="AE117" s="194" t="n">
        <x:f>IF(AND(Y117=1,X117&lt;&gt;""),1,0)</x:f>
        <x:v>0</x:v>
      </x:c>
      <x:c r="AF117" s="194" t="n">
        <x:f>IF(L117="",1,0)</x:f>
        <x:v>1</x:v>
      </x:c>
    </x:row>
    <x:row r="118">
      <x:c r="A118" s="28"/>
      <x:c r="B118" s="41"/>
      <x:c r="C118" s="28"/>
      <x:c r="D118" s="28"/>
      <x:c r="E118" s="28"/>
      <x:c r="F118" s="28"/>
      <x:c r="G118" s="28"/>
      <x:c r="H118" s="28"/>
      <x:c r="I118" s="28"/>
      <x:c r="J118" s="28"/>
      <x:c r="K118" s="54" t="str">
        <x:f>IF(OR(A118="",X118&lt;&gt;""),"",B118+INDEX(Listas!$B$6:$B$9,MATCH(H118,Listas!$A$6:$A$9,0))/24)</x:f>
      </x:c>
      <x:c r="L118" s="41"/>
      <x:c r="M118" s="55" t="str">
        <x:f>IF(A118="","",IF(X118&lt;&gt;"","DADO PENDENTE",IF(J118="Cancelado","N.A.",IF(L118&lt;&gt;"",IF(L118&lt;=K118,"ATENDIDO","ATRASADO"),IF(OR(J118="Fechado",J118="Resolvido"),"SEM EVIDÊNCIA",IF(Listas!$B$18&gt;K118,"ATRASADO","PENDENTE"))))))</x:f>
      </x:c>
      <x:c r="N118" s="54" t="str">
        <x:f>IF(OR(A118="",X118&lt;&gt;""),"",B118+INDEX(Listas!$C$6:$C$9,MATCH(H118,Listas!$A$6:$A$9,0))/24)</x:f>
      </x:c>
      <x:c r="O118" s="41"/>
      <x:c r="P118" s="55" t="str">
        <x:f>IF(A118="","",IF(X118&lt;&gt;"","DADO PENDENTE",IF(J118="Cancelado","N.A.",IF(OR(J118="Fechado",J118="Resolvido"),IF(O118&lt;=N118,"ATENDIDO","ATRASADO"),IF(Listas!$B$18&gt;N118,"ATRASADO","PENDENTE")))))</x:f>
      </x:c>
      <x:c r="Q118" s="56" t="str">
        <x:f>IF(OR(A118="",X118&lt;&gt;"",J118="Cancelado"),"",24*IF(OR(J118="Fechado",J118="Resolvido"),O118-B118,Listas!$B$18-B118))</x:f>
      </x:c>
      <x:c r="R118" s="57" t="str">
        <x:f>IF(OR(A118="",X118&lt;&gt;"",J118="Cancelado"),"",INT(IF(OR(J118="Fechado",J118="Resolvido"),O118-B118,Listas!$B$18-B118)))</x:f>
      </x:c>
      <x:c r="S118" s="58"/>
      <x:c r="T118" s="58"/>
      <x:c r="U118" s="57" t="str">
        <x:f>IF(OR(A118="",X118&lt;&gt;"",J118="Cancelado"),"",S118*T118)</x:f>
      </x:c>
      <x:c r="V118" s="55" t="str">
        <x:f>IF(A118="","",IF(X118&lt;&gt;"","CORRIGIR DADOS",IF(J118="Cancelado","CANCELADO",IF(OR(J118="Fechado",J118="Resolvido"),"CONCLUÍDO",IF(OR(P118="ATRASADO",U118&gt;=Listas!$B$16),"ESCALAR",IF(AND(M118="ATRASADO",L118=""),"RESPONDER AGORA",IF(R118&gt;=Listas!$B$14,"REVISAR BACKLOG","ACOMPANHAR")))))))</x:f>
      </x:c>
      <x:c r="W118" s="28"/>
      <x:c r="X118" s="194" t="str">
        <x:f>IF(COUNTA(A118:J118,L118,O118,S118:T118,W118)=0,"",IF(OR(NOT(ISNUMBER(Listas!$B$14)),Listas!$B$14&lt;0,NOT(ISNUMBER(Listas!$B$16)),Listas!$B$16&lt;1,COUNT(Listas!$B$6:$C$9)&lt;&gt;8,MIN(Listas!$B$6:$C$9)&lt;=0),"Parâmetros inválidos",IF(A118="","ID ausente",IF(COUNTIFS($A$5:$A$204,A118)&lt;&gt;1,"ID duplicado",IF(OR(NOT(ISNUMBER(B118)),B118&lt;=0),"Abertura inválida",IF(OR(NOT(ISNUMBER(Listas!$B$18)),Listas!$B$18&lt;=0),"Data da análise inválida",IF(B118&gt;Listas!$B$18,"Abertura após análise",IF(COUNTIFS(Listas!$A$6:$A$9,H118)&lt;&gt;1,"Prioridade inválida",IF(COUNTIFS(Equipe!$A$5:$A$12,I118)&lt;&gt;1,"Responsável inválido",IF(COUNTIFS(Listas!$E$6:$E$11,J118)&lt;&gt;1,"Status inválido",IF(AND(L118&lt;&gt;"",OR(NOT(ISNUMBER(L118)),L118&lt;B118,L118&gt;Listas!$B$18)),"Resposta inválida",IF(AND(O118&lt;&gt;"",OR(NOT(ISNUMBER(O118)),O118&lt;B118,O118&gt;Listas!$B$18)),"Resolução inválida",IF(AND(OR(J118="Fechado",J118="Resolvido"),O118=""),"Conclusão sem resolução",IF(OR(NOT(ISNUMBER(S118)),S118&lt;1,S118&gt;5,IF(ISNUMBER(S118),S118&lt;&gt;INT(S118),FALSE),NOT(ISNUMBER(T118)),T118&lt;1,T118&gt;5,IF(ISNUMBER(T118),T118&lt;&gt;INT(T118),FALSE)),"Impacto ou urgência inválido",""))))))))))))))</x:f>
      </x:c>
      <x:c r="Y118" s="194" t="n">
        <x:f>IF(AND(COUNTA(A118:J118,L118,O118,S118:T118,W118)&gt;0,OR(Listas!$B$20="Todos",I118=Listas!$B$20)),1,0)</x:f>
        <x:v>0</x:v>
      </x:c>
      <x:c r="Z118" s="194" t="n">
        <x:f>IF(AND(Y118=1,X118="",J118&lt;&gt;"Cancelado",NOT(OR(J118="Fechado",J118="Resolvido"))),1,0)</x:f>
        <x:v>0</x:v>
      </x:c>
      <x:c r="AA118" s="194" t="n">
        <x:f>IF(AND(Y118=1,X118="",OR(J118="Fechado",J118="Resolvido")),1,0)</x:f>
        <x:v>0</x:v>
      </x:c>
      <x:c r="AB118" s="194" t="n">
        <x:f>IF(Y118=0,0,IF(X118&lt;&gt;"",1,IF(Z118=0,0,IF(P118="ATRASADO",2,IF(AND(M118="ATRASADO",L118=""),3,IF(V118="ESCALAR",4,IF(V118="REVISAR BACKLOG",5,0)))))))</x:f>
        <x:v>0</x:v>
      </x:c>
      <x:c r="AC118" s="194" t="str">
        <x:f>IF(AB118=0,"",COUNTIFS($AB$5:$AB$204,"&gt;0",$AB$5:$AB$204,"&lt;"&amp;AB118)+COUNTIFS($AB$5:AB118,AB118))</x:f>
      </x:c>
      <x:c r="AD118" s="194" t="n">
        <x:f>IF(AND(A118&lt;&gt;"",X118=""),1,0)</x:f>
        <x:v>0</x:v>
      </x:c>
      <x:c r="AE118" s="194" t="n">
        <x:f>IF(AND(Y118=1,X118&lt;&gt;""),1,0)</x:f>
        <x:v>0</x:v>
      </x:c>
      <x:c r="AF118" s="194" t="n">
        <x:f>IF(L118="",1,0)</x:f>
        <x:v>1</x:v>
      </x:c>
    </x:row>
    <x:row r="119">
      <x:c r="A119" s="28"/>
      <x:c r="B119" s="41"/>
      <x:c r="C119" s="28"/>
      <x:c r="D119" s="28"/>
      <x:c r="E119" s="28"/>
      <x:c r="F119" s="28"/>
      <x:c r="G119" s="28"/>
      <x:c r="H119" s="28"/>
      <x:c r="I119" s="28"/>
      <x:c r="J119" s="28"/>
      <x:c r="K119" s="54" t="str">
        <x:f>IF(OR(A119="",X119&lt;&gt;""),"",B119+INDEX(Listas!$B$6:$B$9,MATCH(H119,Listas!$A$6:$A$9,0))/24)</x:f>
      </x:c>
      <x:c r="L119" s="41"/>
      <x:c r="M119" s="55" t="str">
        <x:f>IF(A119="","",IF(X119&lt;&gt;"","DADO PENDENTE",IF(J119="Cancelado","N.A.",IF(L119&lt;&gt;"",IF(L119&lt;=K119,"ATENDIDO","ATRASADO"),IF(OR(J119="Fechado",J119="Resolvido"),"SEM EVIDÊNCIA",IF(Listas!$B$18&gt;K119,"ATRASADO","PENDENTE"))))))</x:f>
      </x:c>
      <x:c r="N119" s="54" t="str">
        <x:f>IF(OR(A119="",X119&lt;&gt;""),"",B119+INDEX(Listas!$C$6:$C$9,MATCH(H119,Listas!$A$6:$A$9,0))/24)</x:f>
      </x:c>
      <x:c r="O119" s="41"/>
      <x:c r="P119" s="55" t="str">
        <x:f>IF(A119="","",IF(X119&lt;&gt;"","DADO PENDENTE",IF(J119="Cancelado","N.A.",IF(OR(J119="Fechado",J119="Resolvido"),IF(O119&lt;=N119,"ATENDIDO","ATRASADO"),IF(Listas!$B$18&gt;N119,"ATRASADO","PENDENTE")))))</x:f>
      </x:c>
      <x:c r="Q119" s="56" t="str">
        <x:f>IF(OR(A119="",X119&lt;&gt;"",J119="Cancelado"),"",24*IF(OR(J119="Fechado",J119="Resolvido"),O119-B119,Listas!$B$18-B119))</x:f>
      </x:c>
      <x:c r="R119" s="57" t="str">
        <x:f>IF(OR(A119="",X119&lt;&gt;"",J119="Cancelado"),"",INT(IF(OR(J119="Fechado",J119="Resolvido"),O119-B119,Listas!$B$18-B119)))</x:f>
      </x:c>
      <x:c r="S119" s="58"/>
      <x:c r="T119" s="58"/>
      <x:c r="U119" s="57" t="str">
        <x:f>IF(OR(A119="",X119&lt;&gt;"",J119="Cancelado"),"",S119*T119)</x:f>
      </x:c>
      <x:c r="V119" s="55" t="str">
        <x:f>IF(A119="","",IF(X119&lt;&gt;"","CORRIGIR DADOS",IF(J119="Cancelado","CANCELADO",IF(OR(J119="Fechado",J119="Resolvido"),"CONCLUÍDO",IF(OR(P119="ATRASADO",U119&gt;=Listas!$B$16),"ESCALAR",IF(AND(M119="ATRASADO",L119=""),"RESPONDER AGORA",IF(R119&gt;=Listas!$B$14,"REVISAR BACKLOG","ACOMPANHAR")))))))</x:f>
      </x:c>
      <x:c r="W119" s="28"/>
      <x:c r="X119" s="194" t="str">
        <x:f>IF(COUNTA(A119:J119,L119,O119,S119:T119,W119)=0,"",IF(OR(NOT(ISNUMBER(Listas!$B$14)),Listas!$B$14&lt;0,NOT(ISNUMBER(Listas!$B$16)),Listas!$B$16&lt;1,COUNT(Listas!$B$6:$C$9)&lt;&gt;8,MIN(Listas!$B$6:$C$9)&lt;=0),"Parâmetros inválidos",IF(A119="","ID ausente",IF(COUNTIFS($A$5:$A$204,A119)&lt;&gt;1,"ID duplicado",IF(OR(NOT(ISNUMBER(B119)),B119&lt;=0),"Abertura inválida",IF(OR(NOT(ISNUMBER(Listas!$B$18)),Listas!$B$18&lt;=0),"Data da análise inválida",IF(B119&gt;Listas!$B$18,"Abertura após análise",IF(COUNTIFS(Listas!$A$6:$A$9,H119)&lt;&gt;1,"Prioridade inválida",IF(COUNTIFS(Equipe!$A$5:$A$12,I119)&lt;&gt;1,"Responsável inválido",IF(COUNTIFS(Listas!$E$6:$E$11,J119)&lt;&gt;1,"Status inválido",IF(AND(L119&lt;&gt;"",OR(NOT(ISNUMBER(L119)),L119&lt;B119,L119&gt;Listas!$B$18)),"Resposta inválida",IF(AND(O119&lt;&gt;"",OR(NOT(ISNUMBER(O119)),O119&lt;B119,O119&gt;Listas!$B$18)),"Resolução inválida",IF(AND(OR(J119="Fechado",J119="Resolvido"),O119=""),"Conclusão sem resolução",IF(OR(NOT(ISNUMBER(S119)),S119&lt;1,S119&gt;5,IF(ISNUMBER(S119),S119&lt;&gt;INT(S119),FALSE),NOT(ISNUMBER(T119)),T119&lt;1,T119&gt;5,IF(ISNUMBER(T119),T119&lt;&gt;INT(T119),FALSE)),"Impacto ou urgência inválido",""))))))))))))))</x:f>
      </x:c>
      <x:c r="Y119" s="194" t="n">
        <x:f>IF(AND(COUNTA(A119:J119,L119,O119,S119:T119,W119)&gt;0,OR(Listas!$B$20="Todos",I119=Listas!$B$20)),1,0)</x:f>
        <x:v>0</x:v>
      </x:c>
      <x:c r="Z119" s="194" t="n">
        <x:f>IF(AND(Y119=1,X119="",J119&lt;&gt;"Cancelado",NOT(OR(J119="Fechado",J119="Resolvido"))),1,0)</x:f>
        <x:v>0</x:v>
      </x:c>
      <x:c r="AA119" s="194" t="n">
        <x:f>IF(AND(Y119=1,X119="",OR(J119="Fechado",J119="Resolvido")),1,0)</x:f>
        <x:v>0</x:v>
      </x:c>
      <x:c r="AB119" s="194" t="n">
        <x:f>IF(Y119=0,0,IF(X119&lt;&gt;"",1,IF(Z119=0,0,IF(P119="ATRASADO",2,IF(AND(M119="ATRASADO",L119=""),3,IF(V119="ESCALAR",4,IF(V119="REVISAR BACKLOG",5,0)))))))</x:f>
        <x:v>0</x:v>
      </x:c>
      <x:c r="AC119" s="194" t="str">
        <x:f>IF(AB119=0,"",COUNTIFS($AB$5:$AB$204,"&gt;0",$AB$5:$AB$204,"&lt;"&amp;AB119)+COUNTIFS($AB$5:AB119,AB119))</x:f>
      </x:c>
      <x:c r="AD119" s="194" t="n">
        <x:f>IF(AND(A119&lt;&gt;"",X119=""),1,0)</x:f>
        <x:v>0</x:v>
      </x:c>
      <x:c r="AE119" s="194" t="n">
        <x:f>IF(AND(Y119=1,X119&lt;&gt;""),1,0)</x:f>
        <x:v>0</x:v>
      </x:c>
      <x:c r="AF119" s="194" t="n">
        <x:f>IF(L119="",1,0)</x:f>
        <x:v>1</x:v>
      </x:c>
    </x:row>
    <x:row r="120">
      <x:c r="A120" s="28"/>
      <x:c r="B120" s="41"/>
      <x:c r="C120" s="28"/>
      <x:c r="D120" s="28"/>
      <x:c r="E120" s="28"/>
      <x:c r="F120" s="28"/>
      <x:c r="G120" s="28"/>
      <x:c r="H120" s="28"/>
      <x:c r="I120" s="28"/>
      <x:c r="J120" s="28"/>
      <x:c r="K120" s="54" t="str">
        <x:f>IF(OR(A120="",X120&lt;&gt;""),"",B120+INDEX(Listas!$B$6:$B$9,MATCH(H120,Listas!$A$6:$A$9,0))/24)</x:f>
      </x:c>
      <x:c r="L120" s="41"/>
      <x:c r="M120" s="55" t="str">
        <x:f>IF(A120="","",IF(X120&lt;&gt;"","DADO PENDENTE",IF(J120="Cancelado","N.A.",IF(L120&lt;&gt;"",IF(L120&lt;=K120,"ATENDIDO","ATRASADO"),IF(OR(J120="Fechado",J120="Resolvido"),"SEM EVIDÊNCIA",IF(Listas!$B$18&gt;K120,"ATRASADO","PENDENTE"))))))</x:f>
      </x:c>
      <x:c r="N120" s="54" t="str">
        <x:f>IF(OR(A120="",X120&lt;&gt;""),"",B120+INDEX(Listas!$C$6:$C$9,MATCH(H120,Listas!$A$6:$A$9,0))/24)</x:f>
      </x:c>
      <x:c r="O120" s="41"/>
      <x:c r="P120" s="55" t="str">
        <x:f>IF(A120="","",IF(X120&lt;&gt;"","DADO PENDENTE",IF(J120="Cancelado","N.A.",IF(OR(J120="Fechado",J120="Resolvido"),IF(O120&lt;=N120,"ATENDIDO","ATRASADO"),IF(Listas!$B$18&gt;N120,"ATRASADO","PENDENTE")))))</x:f>
      </x:c>
      <x:c r="Q120" s="56" t="str">
        <x:f>IF(OR(A120="",X120&lt;&gt;"",J120="Cancelado"),"",24*IF(OR(J120="Fechado",J120="Resolvido"),O120-B120,Listas!$B$18-B120))</x:f>
      </x:c>
      <x:c r="R120" s="57" t="str">
        <x:f>IF(OR(A120="",X120&lt;&gt;"",J120="Cancelado"),"",INT(IF(OR(J120="Fechado",J120="Resolvido"),O120-B120,Listas!$B$18-B120)))</x:f>
      </x:c>
      <x:c r="S120" s="58"/>
      <x:c r="T120" s="58"/>
      <x:c r="U120" s="57" t="str">
        <x:f>IF(OR(A120="",X120&lt;&gt;"",J120="Cancelado"),"",S120*T120)</x:f>
      </x:c>
      <x:c r="V120" s="55" t="str">
        <x:f>IF(A120="","",IF(X120&lt;&gt;"","CORRIGIR DADOS",IF(J120="Cancelado","CANCELADO",IF(OR(J120="Fechado",J120="Resolvido"),"CONCLUÍDO",IF(OR(P120="ATRASADO",U120&gt;=Listas!$B$16),"ESCALAR",IF(AND(M120="ATRASADO",L120=""),"RESPONDER AGORA",IF(R120&gt;=Listas!$B$14,"REVISAR BACKLOG","ACOMPANHAR")))))))</x:f>
      </x:c>
      <x:c r="W120" s="28"/>
      <x:c r="X120" s="194" t="str">
        <x:f>IF(COUNTA(A120:J120,L120,O120,S120:T120,W120)=0,"",IF(OR(NOT(ISNUMBER(Listas!$B$14)),Listas!$B$14&lt;0,NOT(ISNUMBER(Listas!$B$16)),Listas!$B$16&lt;1,COUNT(Listas!$B$6:$C$9)&lt;&gt;8,MIN(Listas!$B$6:$C$9)&lt;=0),"Parâmetros inválidos",IF(A120="","ID ausente",IF(COUNTIFS($A$5:$A$204,A120)&lt;&gt;1,"ID duplicado",IF(OR(NOT(ISNUMBER(B120)),B120&lt;=0),"Abertura inválida",IF(OR(NOT(ISNUMBER(Listas!$B$18)),Listas!$B$18&lt;=0),"Data da análise inválida",IF(B120&gt;Listas!$B$18,"Abertura após análise",IF(COUNTIFS(Listas!$A$6:$A$9,H120)&lt;&gt;1,"Prioridade inválida",IF(COUNTIFS(Equipe!$A$5:$A$12,I120)&lt;&gt;1,"Responsável inválido",IF(COUNTIFS(Listas!$E$6:$E$11,J120)&lt;&gt;1,"Status inválido",IF(AND(L120&lt;&gt;"",OR(NOT(ISNUMBER(L120)),L120&lt;B120,L120&gt;Listas!$B$18)),"Resposta inválida",IF(AND(O120&lt;&gt;"",OR(NOT(ISNUMBER(O120)),O120&lt;B120,O120&gt;Listas!$B$18)),"Resolução inválida",IF(AND(OR(J120="Fechado",J120="Resolvido"),O120=""),"Conclusão sem resolução",IF(OR(NOT(ISNUMBER(S120)),S120&lt;1,S120&gt;5,IF(ISNUMBER(S120),S120&lt;&gt;INT(S120),FALSE),NOT(ISNUMBER(T120)),T120&lt;1,T120&gt;5,IF(ISNUMBER(T120),T120&lt;&gt;INT(T120),FALSE)),"Impacto ou urgência inválido",""))))))))))))))</x:f>
      </x:c>
      <x:c r="Y120" s="194" t="n">
        <x:f>IF(AND(COUNTA(A120:J120,L120,O120,S120:T120,W120)&gt;0,OR(Listas!$B$20="Todos",I120=Listas!$B$20)),1,0)</x:f>
        <x:v>0</x:v>
      </x:c>
      <x:c r="Z120" s="194" t="n">
        <x:f>IF(AND(Y120=1,X120="",J120&lt;&gt;"Cancelado",NOT(OR(J120="Fechado",J120="Resolvido"))),1,0)</x:f>
        <x:v>0</x:v>
      </x:c>
      <x:c r="AA120" s="194" t="n">
        <x:f>IF(AND(Y120=1,X120="",OR(J120="Fechado",J120="Resolvido")),1,0)</x:f>
        <x:v>0</x:v>
      </x:c>
      <x:c r="AB120" s="194" t="n">
        <x:f>IF(Y120=0,0,IF(X120&lt;&gt;"",1,IF(Z120=0,0,IF(P120="ATRASADO",2,IF(AND(M120="ATRASADO",L120=""),3,IF(V120="ESCALAR",4,IF(V120="REVISAR BACKLOG",5,0)))))))</x:f>
        <x:v>0</x:v>
      </x:c>
      <x:c r="AC120" s="194" t="str">
        <x:f>IF(AB120=0,"",COUNTIFS($AB$5:$AB$204,"&gt;0",$AB$5:$AB$204,"&lt;"&amp;AB120)+COUNTIFS($AB$5:AB120,AB120))</x:f>
      </x:c>
      <x:c r="AD120" s="194" t="n">
        <x:f>IF(AND(A120&lt;&gt;"",X120=""),1,0)</x:f>
        <x:v>0</x:v>
      </x:c>
      <x:c r="AE120" s="194" t="n">
        <x:f>IF(AND(Y120=1,X120&lt;&gt;""),1,0)</x:f>
        <x:v>0</x:v>
      </x:c>
      <x:c r="AF120" s="194" t="n">
        <x:f>IF(L120="",1,0)</x:f>
        <x:v>1</x:v>
      </x:c>
    </x:row>
    <x:row r="121">
      <x:c r="A121" s="28"/>
      <x:c r="B121" s="41"/>
      <x:c r="C121" s="28"/>
      <x:c r="D121" s="28"/>
      <x:c r="E121" s="28"/>
      <x:c r="F121" s="28"/>
      <x:c r="G121" s="28"/>
      <x:c r="H121" s="28"/>
      <x:c r="I121" s="28"/>
      <x:c r="J121" s="28"/>
      <x:c r="K121" s="54" t="str">
        <x:f>IF(OR(A121="",X121&lt;&gt;""),"",B121+INDEX(Listas!$B$6:$B$9,MATCH(H121,Listas!$A$6:$A$9,0))/24)</x:f>
      </x:c>
      <x:c r="L121" s="41"/>
      <x:c r="M121" s="55" t="str">
        <x:f>IF(A121="","",IF(X121&lt;&gt;"","DADO PENDENTE",IF(J121="Cancelado","N.A.",IF(L121&lt;&gt;"",IF(L121&lt;=K121,"ATENDIDO","ATRASADO"),IF(OR(J121="Fechado",J121="Resolvido"),"SEM EVIDÊNCIA",IF(Listas!$B$18&gt;K121,"ATRASADO","PENDENTE"))))))</x:f>
      </x:c>
      <x:c r="N121" s="54" t="str">
        <x:f>IF(OR(A121="",X121&lt;&gt;""),"",B121+INDEX(Listas!$C$6:$C$9,MATCH(H121,Listas!$A$6:$A$9,0))/24)</x:f>
      </x:c>
      <x:c r="O121" s="41"/>
      <x:c r="P121" s="55" t="str">
        <x:f>IF(A121="","",IF(X121&lt;&gt;"","DADO PENDENTE",IF(J121="Cancelado","N.A.",IF(OR(J121="Fechado",J121="Resolvido"),IF(O121&lt;=N121,"ATENDIDO","ATRASADO"),IF(Listas!$B$18&gt;N121,"ATRASADO","PENDENTE")))))</x:f>
      </x:c>
      <x:c r="Q121" s="56" t="str">
        <x:f>IF(OR(A121="",X121&lt;&gt;"",J121="Cancelado"),"",24*IF(OR(J121="Fechado",J121="Resolvido"),O121-B121,Listas!$B$18-B121))</x:f>
      </x:c>
      <x:c r="R121" s="57" t="str">
        <x:f>IF(OR(A121="",X121&lt;&gt;"",J121="Cancelado"),"",INT(IF(OR(J121="Fechado",J121="Resolvido"),O121-B121,Listas!$B$18-B121)))</x:f>
      </x:c>
      <x:c r="S121" s="58"/>
      <x:c r="T121" s="58"/>
      <x:c r="U121" s="57" t="str">
        <x:f>IF(OR(A121="",X121&lt;&gt;"",J121="Cancelado"),"",S121*T121)</x:f>
      </x:c>
      <x:c r="V121" s="55" t="str">
        <x:f>IF(A121="","",IF(X121&lt;&gt;"","CORRIGIR DADOS",IF(J121="Cancelado","CANCELADO",IF(OR(J121="Fechado",J121="Resolvido"),"CONCLUÍDO",IF(OR(P121="ATRASADO",U121&gt;=Listas!$B$16),"ESCALAR",IF(AND(M121="ATRASADO",L121=""),"RESPONDER AGORA",IF(R121&gt;=Listas!$B$14,"REVISAR BACKLOG","ACOMPANHAR")))))))</x:f>
      </x:c>
      <x:c r="W121" s="28"/>
      <x:c r="X121" s="194" t="str">
        <x:f>IF(COUNTA(A121:J121,L121,O121,S121:T121,W121)=0,"",IF(OR(NOT(ISNUMBER(Listas!$B$14)),Listas!$B$14&lt;0,NOT(ISNUMBER(Listas!$B$16)),Listas!$B$16&lt;1,COUNT(Listas!$B$6:$C$9)&lt;&gt;8,MIN(Listas!$B$6:$C$9)&lt;=0),"Parâmetros inválidos",IF(A121="","ID ausente",IF(COUNTIFS($A$5:$A$204,A121)&lt;&gt;1,"ID duplicado",IF(OR(NOT(ISNUMBER(B121)),B121&lt;=0),"Abertura inválida",IF(OR(NOT(ISNUMBER(Listas!$B$18)),Listas!$B$18&lt;=0),"Data da análise inválida",IF(B121&gt;Listas!$B$18,"Abertura após análise",IF(COUNTIFS(Listas!$A$6:$A$9,H121)&lt;&gt;1,"Prioridade inválida",IF(COUNTIFS(Equipe!$A$5:$A$12,I121)&lt;&gt;1,"Responsável inválido",IF(COUNTIFS(Listas!$E$6:$E$11,J121)&lt;&gt;1,"Status inválido",IF(AND(L121&lt;&gt;"",OR(NOT(ISNUMBER(L121)),L121&lt;B121,L121&gt;Listas!$B$18)),"Resposta inválida",IF(AND(O121&lt;&gt;"",OR(NOT(ISNUMBER(O121)),O121&lt;B121,O121&gt;Listas!$B$18)),"Resolução inválida",IF(AND(OR(J121="Fechado",J121="Resolvido"),O121=""),"Conclusão sem resolução",IF(OR(NOT(ISNUMBER(S121)),S121&lt;1,S121&gt;5,IF(ISNUMBER(S121),S121&lt;&gt;INT(S121),FALSE),NOT(ISNUMBER(T121)),T121&lt;1,T121&gt;5,IF(ISNUMBER(T121),T121&lt;&gt;INT(T121),FALSE)),"Impacto ou urgência inválido",""))))))))))))))</x:f>
      </x:c>
      <x:c r="Y121" s="194" t="n">
        <x:f>IF(AND(COUNTA(A121:J121,L121,O121,S121:T121,W121)&gt;0,OR(Listas!$B$20="Todos",I121=Listas!$B$20)),1,0)</x:f>
        <x:v>0</x:v>
      </x:c>
      <x:c r="Z121" s="194" t="n">
        <x:f>IF(AND(Y121=1,X121="",J121&lt;&gt;"Cancelado",NOT(OR(J121="Fechado",J121="Resolvido"))),1,0)</x:f>
        <x:v>0</x:v>
      </x:c>
      <x:c r="AA121" s="194" t="n">
        <x:f>IF(AND(Y121=1,X121="",OR(J121="Fechado",J121="Resolvido")),1,0)</x:f>
        <x:v>0</x:v>
      </x:c>
      <x:c r="AB121" s="194" t="n">
        <x:f>IF(Y121=0,0,IF(X121&lt;&gt;"",1,IF(Z121=0,0,IF(P121="ATRASADO",2,IF(AND(M121="ATRASADO",L121=""),3,IF(V121="ESCALAR",4,IF(V121="REVISAR BACKLOG",5,0)))))))</x:f>
        <x:v>0</x:v>
      </x:c>
      <x:c r="AC121" s="194" t="str">
        <x:f>IF(AB121=0,"",COUNTIFS($AB$5:$AB$204,"&gt;0",$AB$5:$AB$204,"&lt;"&amp;AB121)+COUNTIFS($AB$5:AB121,AB121))</x:f>
      </x:c>
      <x:c r="AD121" s="194" t="n">
        <x:f>IF(AND(A121&lt;&gt;"",X121=""),1,0)</x:f>
        <x:v>0</x:v>
      </x:c>
      <x:c r="AE121" s="194" t="n">
        <x:f>IF(AND(Y121=1,X121&lt;&gt;""),1,0)</x:f>
        <x:v>0</x:v>
      </x:c>
      <x:c r="AF121" s="194" t="n">
        <x:f>IF(L121="",1,0)</x:f>
        <x:v>1</x:v>
      </x:c>
    </x:row>
    <x:row r="122">
      <x:c r="A122" s="28"/>
      <x:c r="B122" s="41"/>
      <x:c r="C122" s="28"/>
      <x:c r="D122" s="28"/>
      <x:c r="E122" s="28"/>
      <x:c r="F122" s="28"/>
      <x:c r="G122" s="28"/>
      <x:c r="H122" s="28"/>
      <x:c r="I122" s="28"/>
      <x:c r="J122" s="28"/>
      <x:c r="K122" s="54" t="str">
        <x:f>IF(OR(A122="",X122&lt;&gt;""),"",B122+INDEX(Listas!$B$6:$B$9,MATCH(H122,Listas!$A$6:$A$9,0))/24)</x:f>
      </x:c>
      <x:c r="L122" s="41"/>
      <x:c r="M122" s="55" t="str">
        <x:f>IF(A122="","",IF(X122&lt;&gt;"","DADO PENDENTE",IF(J122="Cancelado","N.A.",IF(L122&lt;&gt;"",IF(L122&lt;=K122,"ATENDIDO","ATRASADO"),IF(OR(J122="Fechado",J122="Resolvido"),"SEM EVIDÊNCIA",IF(Listas!$B$18&gt;K122,"ATRASADO","PENDENTE"))))))</x:f>
      </x:c>
      <x:c r="N122" s="54" t="str">
        <x:f>IF(OR(A122="",X122&lt;&gt;""),"",B122+INDEX(Listas!$C$6:$C$9,MATCH(H122,Listas!$A$6:$A$9,0))/24)</x:f>
      </x:c>
      <x:c r="O122" s="41"/>
      <x:c r="P122" s="55" t="str">
        <x:f>IF(A122="","",IF(X122&lt;&gt;"","DADO PENDENTE",IF(J122="Cancelado","N.A.",IF(OR(J122="Fechado",J122="Resolvido"),IF(O122&lt;=N122,"ATENDIDO","ATRASADO"),IF(Listas!$B$18&gt;N122,"ATRASADO","PENDENTE")))))</x:f>
      </x:c>
      <x:c r="Q122" s="56" t="str">
        <x:f>IF(OR(A122="",X122&lt;&gt;"",J122="Cancelado"),"",24*IF(OR(J122="Fechado",J122="Resolvido"),O122-B122,Listas!$B$18-B122))</x:f>
      </x:c>
      <x:c r="R122" s="57" t="str">
        <x:f>IF(OR(A122="",X122&lt;&gt;"",J122="Cancelado"),"",INT(IF(OR(J122="Fechado",J122="Resolvido"),O122-B122,Listas!$B$18-B122)))</x:f>
      </x:c>
      <x:c r="S122" s="58"/>
      <x:c r="T122" s="58"/>
      <x:c r="U122" s="57" t="str">
        <x:f>IF(OR(A122="",X122&lt;&gt;"",J122="Cancelado"),"",S122*T122)</x:f>
      </x:c>
      <x:c r="V122" s="55" t="str">
        <x:f>IF(A122="","",IF(X122&lt;&gt;"","CORRIGIR DADOS",IF(J122="Cancelado","CANCELADO",IF(OR(J122="Fechado",J122="Resolvido"),"CONCLUÍDO",IF(OR(P122="ATRASADO",U122&gt;=Listas!$B$16),"ESCALAR",IF(AND(M122="ATRASADO",L122=""),"RESPONDER AGORA",IF(R122&gt;=Listas!$B$14,"REVISAR BACKLOG","ACOMPANHAR")))))))</x:f>
      </x:c>
      <x:c r="W122" s="28"/>
      <x:c r="X122" s="194" t="str">
        <x:f>IF(COUNTA(A122:J122,L122,O122,S122:T122,W122)=0,"",IF(OR(NOT(ISNUMBER(Listas!$B$14)),Listas!$B$14&lt;0,NOT(ISNUMBER(Listas!$B$16)),Listas!$B$16&lt;1,COUNT(Listas!$B$6:$C$9)&lt;&gt;8,MIN(Listas!$B$6:$C$9)&lt;=0),"Parâmetros inválidos",IF(A122="","ID ausente",IF(COUNTIFS($A$5:$A$204,A122)&lt;&gt;1,"ID duplicado",IF(OR(NOT(ISNUMBER(B122)),B122&lt;=0),"Abertura inválida",IF(OR(NOT(ISNUMBER(Listas!$B$18)),Listas!$B$18&lt;=0),"Data da análise inválida",IF(B122&gt;Listas!$B$18,"Abertura após análise",IF(COUNTIFS(Listas!$A$6:$A$9,H122)&lt;&gt;1,"Prioridade inválida",IF(COUNTIFS(Equipe!$A$5:$A$12,I122)&lt;&gt;1,"Responsável inválido",IF(COUNTIFS(Listas!$E$6:$E$11,J122)&lt;&gt;1,"Status inválido",IF(AND(L122&lt;&gt;"",OR(NOT(ISNUMBER(L122)),L122&lt;B122,L122&gt;Listas!$B$18)),"Resposta inválida",IF(AND(O122&lt;&gt;"",OR(NOT(ISNUMBER(O122)),O122&lt;B122,O122&gt;Listas!$B$18)),"Resolução inválida",IF(AND(OR(J122="Fechado",J122="Resolvido"),O122=""),"Conclusão sem resolução",IF(OR(NOT(ISNUMBER(S122)),S122&lt;1,S122&gt;5,IF(ISNUMBER(S122),S122&lt;&gt;INT(S122),FALSE),NOT(ISNUMBER(T122)),T122&lt;1,T122&gt;5,IF(ISNUMBER(T122),T122&lt;&gt;INT(T122),FALSE)),"Impacto ou urgência inválido",""))))))))))))))</x:f>
      </x:c>
      <x:c r="Y122" s="194" t="n">
        <x:f>IF(AND(COUNTA(A122:J122,L122,O122,S122:T122,W122)&gt;0,OR(Listas!$B$20="Todos",I122=Listas!$B$20)),1,0)</x:f>
        <x:v>0</x:v>
      </x:c>
      <x:c r="Z122" s="194" t="n">
        <x:f>IF(AND(Y122=1,X122="",J122&lt;&gt;"Cancelado",NOT(OR(J122="Fechado",J122="Resolvido"))),1,0)</x:f>
        <x:v>0</x:v>
      </x:c>
      <x:c r="AA122" s="194" t="n">
        <x:f>IF(AND(Y122=1,X122="",OR(J122="Fechado",J122="Resolvido")),1,0)</x:f>
        <x:v>0</x:v>
      </x:c>
      <x:c r="AB122" s="194" t="n">
        <x:f>IF(Y122=0,0,IF(X122&lt;&gt;"",1,IF(Z122=0,0,IF(P122="ATRASADO",2,IF(AND(M122="ATRASADO",L122=""),3,IF(V122="ESCALAR",4,IF(V122="REVISAR BACKLOG",5,0)))))))</x:f>
        <x:v>0</x:v>
      </x:c>
      <x:c r="AC122" s="194" t="str">
        <x:f>IF(AB122=0,"",COUNTIFS($AB$5:$AB$204,"&gt;0",$AB$5:$AB$204,"&lt;"&amp;AB122)+COUNTIFS($AB$5:AB122,AB122))</x:f>
      </x:c>
      <x:c r="AD122" s="194" t="n">
        <x:f>IF(AND(A122&lt;&gt;"",X122=""),1,0)</x:f>
        <x:v>0</x:v>
      </x:c>
      <x:c r="AE122" s="194" t="n">
        <x:f>IF(AND(Y122=1,X122&lt;&gt;""),1,0)</x:f>
        <x:v>0</x:v>
      </x:c>
      <x:c r="AF122" s="194" t="n">
        <x:f>IF(L122="",1,0)</x:f>
        <x:v>1</x:v>
      </x:c>
    </x:row>
    <x:row r="123">
      <x:c r="A123" s="28"/>
      <x:c r="B123" s="41"/>
      <x:c r="C123" s="28"/>
      <x:c r="D123" s="28"/>
      <x:c r="E123" s="28"/>
      <x:c r="F123" s="28"/>
      <x:c r="G123" s="28"/>
      <x:c r="H123" s="28"/>
      <x:c r="I123" s="28"/>
      <x:c r="J123" s="28"/>
      <x:c r="K123" s="54" t="str">
        <x:f>IF(OR(A123="",X123&lt;&gt;""),"",B123+INDEX(Listas!$B$6:$B$9,MATCH(H123,Listas!$A$6:$A$9,0))/24)</x:f>
      </x:c>
      <x:c r="L123" s="41"/>
      <x:c r="M123" s="55" t="str">
        <x:f>IF(A123="","",IF(X123&lt;&gt;"","DADO PENDENTE",IF(J123="Cancelado","N.A.",IF(L123&lt;&gt;"",IF(L123&lt;=K123,"ATENDIDO","ATRASADO"),IF(OR(J123="Fechado",J123="Resolvido"),"SEM EVIDÊNCIA",IF(Listas!$B$18&gt;K123,"ATRASADO","PENDENTE"))))))</x:f>
      </x:c>
      <x:c r="N123" s="54" t="str">
        <x:f>IF(OR(A123="",X123&lt;&gt;""),"",B123+INDEX(Listas!$C$6:$C$9,MATCH(H123,Listas!$A$6:$A$9,0))/24)</x:f>
      </x:c>
      <x:c r="O123" s="41"/>
      <x:c r="P123" s="55" t="str">
        <x:f>IF(A123="","",IF(X123&lt;&gt;"","DADO PENDENTE",IF(J123="Cancelado","N.A.",IF(OR(J123="Fechado",J123="Resolvido"),IF(O123&lt;=N123,"ATENDIDO","ATRASADO"),IF(Listas!$B$18&gt;N123,"ATRASADO","PENDENTE")))))</x:f>
      </x:c>
      <x:c r="Q123" s="56" t="str">
        <x:f>IF(OR(A123="",X123&lt;&gt;"",J123="Cancelado"),"",24*IF(OR(J123="Fechado",J123="Resolvido"),O123-B123,Listas!$B$18-B123))</x:f>
      </x:c>
      <x:c r="R123" s="57" t="str">
        <x:f>IF(OR(A123="",X123&lt;&gt;"",J123="Cancelado"),"",INT(IF(OR(J123="Fechado",J123="Resolvido"),O123-B123,Listas!$B$18-B123)))</x:f>
      </x:c>
      <x:c r="S123" s="58"/>
      <x:c r="T123" s="58"/>
      <x:c r="U123" s="57" t="str">
        <x:f>IF(OR(A123="",X123&lt;&gt;"",J123="Cancelado"),"",S123*T123)</x:f>
      </x:c>
      <x:c r="V123" s="55" t="str">
        <x:f>IF(A123="","",IF(X123&lt;&gt;"","CORRIGIR DADOS",IF(J123="Cancelado","CANCELADO",IF(OR(J123="Fechado",J123="Resolvido"),"CONCLUÍDO",IF(OR(P123="ATRASADO",U123&gt;=Listas!$B$16),"ESCALAR",IF(AND(M123="ATRASADO",L123=""),"RESPONDER AGORA",IF(R123&gt;=Listas!$B$14,"REVISAR BACKLOG","ACOMPANHAR")))))))</x:f>
      </x:c>
      <x:c r="W123" s="28"/>
      <x:c r="X123" s="194" t="str">
        <x:f>IF(COUNTA(A123:J123,L123,O123,S123:T123,W123)=0,"",IF(OR(NOT(ISNUMBER(Listas!$B$14)),Listas!$B$14&lt;0,NOT(ISNUMBER(Listas!$B$16)),Listas!$B$16&lt;1,COUNT(Listas!$B$6:$C$9)&lt;&gt;8,MIN(Listas!$B$6:$C$9)&lt;=0),"Parâmetros inválidos",IF(A123="","ID ausente",IF(COUNTIFS($A$5:$A$204,A123)&lt;&gt;1,"ID duplicado",IF(OR(NOT(ISNUMBER(B123)),B123&lt;=0),"Abertura inválida",IF(OR(NOT(ISNUMBER(Listas!$B$18)),Listas!$B$18&lt;=0),"Data da análise inválida",IF(B123&gt;Listas!$B$18,"Abertura após análise",IF(COUNTIFS(Listas!$A$6:$A$9,H123)&lt;&gt;1,"Prioridade inválida",IF(COUNTIFS(Equipe!$A$5:$A$12,I123)&lt;&gt;1,"Responsável inválido",IF(COUNTIFS(Listas!$E$6:$E$11,J123)&lt;&gt;1,"Status inválido",IF(AND(L123&lt;&gt;"",OR(NOT(ISNUMBER(L123)),L123&lt;B123,L123&gt;Listas!$B$18)),"Resposta inválida",IF(AND(O123&lt;&gt;"",OR(NOT(ISNUMBER(O123)),O123&lt;B123,O123&gt;Listas!$B$18)),"Resolução inválida",IF(AND(OR(J123="Fechado",J123="Resolvido"),O123=""),"Conclusão sem resolução",IF(OR(NOT(ISNUMBER(S123)),S123&lt;1,S123&gt;5,IF(ISNUMBER(S123),S123&lt;&gt;INT(S123),FALSE),NOT(ISNUMBER(T123)),T123&lt;1,T123&gt;5,IF(ISNUMBER(T123),T123&lt;&gt;INT(T123),FALSE)),"Impacto ou urgência inválido",""))))))))))))))</x:f>
      </x:c>
      <x:c r="Y123" s="194" t="n">
        <x:f>IF(AND(COUNTA(A123:J123,L123,O123,S123:T123,W123)&gt;0,OR(Listas!$B$20="Todos",I123=Listas!$B$20)),1,0)</x:f>
        <x:v>0</x:v>
      </x:c>
      <x:c r="Z123" s="194" t="n">
        <x:f>IF(AND(Y123=1,X123="",J123&lt;&gt;"Cancelado",NOT(OR(J123="Fechado",J123="Resolvido"))),1,0)</x:f>
        <x:v>0</x:v>
      </x:c>
      <x:c r="AA123" s="194" t="n">
        <x:f>IF(AND(Y123=1,X123="",OR(J123="Fechado",J123="Resolvido")),1,0)</x:f>
        <x:v>0</x:v>
      </x:c>
      <x:c r="AB123" s="194" t="n">
        <x:f>IF(Y123=0,0,IF(X123&lt;&gt;"",1,IF(Z123=0,0,IF(P123="ATRASADO",2,IF(AND(M123="ATRASADO",L123=""),3,IF(V123="ESCALAR",4,IF(V123="REVISAR BACKLOG",5,0)))))))</x:f>
        <x:v>0</x:v>
      </x:c>
      <x:c r="AC123" s="194" t="str">
        <x:f>IF(AB123=0,"",COUNTIFS($AB$5:$AB$204,"&gt;0",$AB$5:$AB$204,"&lt;"&amp;AB123)+COUNTIFS($AB$5:AB123,AB123))</x:f>
      </x:c>
      <x:c r="AD123" s="194" t="n">
        <x:f>IF(AND(A123&lt;&gt;"",X123=""),1,0)</x:f>
        <x:v>0</x:v>
      </x:c>
      <x:c r="AE123" s="194" t="n">
        <x:f>IF(AND(Y123=1,X123&lt;&gt;""),1,0)</x:f>
        <x:v>0</x:v>
      </x:c>
      <x:c r="AF123" s="194" t="n">
        <x:f>IF(L123="",1,0)</x:f>
        <x:v>1</x:v>
      </x:c>
    </x:row>
    <x:row r="124">
      <x:c r="A124" s="28"/>
      <x:c r="B124" s="41"/>
      <x:c r="C124" s="28"/>
      <x:c r="D124" s="28"/>
      <x:c r="E124" s="28"/>
      <x:c r="F124" s="28"/>
      <x:c r="G124" s="28"/>
      <x:c r="H124" s="28"/>
      <x:c r="I124" s="28"/>
      <x:c r="J124" s="28"/>
      <x:c r="K124" s="54" t="str">
        <x:f>IF(OR(A124="",X124&lt;&gt;""),"",B124+INDEX(Listas!$B$6:$B$9,MATCH(H124,Listas!$A$6:$A$9,0))/24)</x:f>
      </x:c>
      <x:c r="L124" s="41"/>
      <x:c r="M124" s="55" t="str">
        <x:f>IF(A124="","",IF(X124&lt;&gt;"","DADO PENDENTE",IF(J124="Cancelado","N.A.",IF(L124&lt;&gt;"",IF(L124&lt;=K124,"ATENDIDO","ATRASADO"),IF(OR(J124="Fechado",J124="Resolvido"),"SEM EVIDÊNCIA",IF(Listas!$B$18&gt;K124,"ATRASADO","PENDENTE"))))))</x:f>
      </x:c>
      <x:c r="N124" s="54" t="str">
        <x:f>IF(OR(A124="",X124&lt;&gt;""),"",B124+INDEX(Listas!$C$6:$C$9,MATCH(H124,Listas!$A$6:$A$9,0))/24)</x:f>
      </x:c>
      <x:c r="O124" s="41"/>
      <x:c r="P124" s="55" t="str">
        <x:f>IF(A124="","",IF(X124&lt;&gt;"","DADO PENDENTE",IF(J124="Cancelado","N.A.",IF(OR(J124="Fechado",J124="Resolvido"),IF(O124&lt;=N124,"ATENDIDO","ATRASADO"),IF(Listas!$B$18&gt;N124,"ATRASADO","PENDENTE")))))</x:f>
      </x:c>
      <x:c r="Q124" s="56" t="str">
        <x:f>IF(OR(A124="",X124&lt;&gt;"",J124="Cancelado"),"",24*IF(OR(J124="Fechado",J124="Resolvido"),O124-B124,Listas!$B$18-B124))</x:f>
      </x:c>
      <x:c r="R124" s="57" t="str">
        <x:f>IF(OR(A124="",X124&lt;&gt;"",J124="Cancelado"),"",INT(IF(OR(J124="Fechado",J124="Resolvido"),O124-B124,Listas!$B$18-B124)))</x:f>
      </x:c>
      <x:c r="S124" s="58"/>
      <x:c r="T124" s="58"/>
      <x:c r="U124" s="57" t="str">
        <x:f>IF(OR(A124="",X124&lt;&gt;"",J124="Cancelado"),"",S124*T124)</x:f>
      </x:c>
      <x:c r="V124" s="55" t="str">
        <x:f>IF(A124="","",IF(X124&lt;&gt;"","CORRIGIR DADOS",IF(J124="Cancelado","CANCELADO",IF(OR(J124="Fechado",J124="Resolvido"),"CONCLUÍDO",IF(OR(P124="ATRASADO",U124&gt;=Listas!$B$16),"ESCALAR",IF(AND(M124="ATRASADO",L124=""),"RESPONDER AGORA",IF(R124&gt;=Listas!$B$14,"REVISAR BACKLOG","ACOMPANHAR")))))))</x:f>
      </x:c>
      <x:c r="W124" s="28"/>
      <x:c r="X124" s="194" t="str">
        <x:f>IF(COUNTA(A124:J124,L124,O124,S124:T124,W124)=0,"",IF(OR(NOT(ISNUMBER(Listas!$B$14)),Listas!$B$14&lt;0,NOT(ISNUMBER(Listas!$B$16)),Listas!$B$16&lt;1,COUNT(Listas!$B$6:$C$9)&lt;&gt;8,MIN(Listas!$B$6:$C$9)&lt;=0),"Parâmetros inválidos",IF(A124="","ID ausente",IF(COUNTIFS($A$5:$A$204,A124)&lt;&gt;1,"ID duplicado",IF(OR(NOT(ISNUMBER(B124)),B124&lt;=0),"Abertura inválida",IF(OR(NOT(ISNUMBER(Listas!$B$18)),Listas!$B$18&lt;=0),"Data da análise inválida",IF(B124&gt;Listas!$B$18,"Abertura após análise",IF(COUNTIFS(Listas!$A$6:$A$9,H124)&lt;&gt;1,"Prioridade inválida",IF(COUNTIFS(Equipe!$A$5:$A$12,I124)&lt;&gt;1,"Responsável inválido",IF(COUNTIFS(Listas!$E$6:$E$11,J124)&lt;&gt;1,"Status inválido",IF(AND(L124&lt;&gt;"",OR(NOT(ISNUMBER(L124)),L124&lt;B124,L124&gt;Listas!$B$18)),"Resposta inválida",IF(AND(O124&lt;&gt;"",OR(NOT(ISNUMBER(O124)),O124&lt;B124,O124&gt;Listas!$B$18)),"Resolução inválida",IF(AND(OR(J124="Fechado",J124="Resolvido"),O124=""),"Conclusão sem resolução",IF(OR(NOT(ISNUMBER(S124)),S124&lt;1,S124&gt;5,IF(ISNUMBER(S124),S124&lt;&gt;INT(S124),FALSE),NOT(ISNUMBER(T124)),T124&lt;1,T124&gt;5,IF(ISNUMBER(T124),T124&lt;&gt;INT(T124),FALSE)),"Impacto ou urgência inválido",""))))))))))))))</x:f>
      </x:c>
      <x:c r="Y124" s="194" t="n">
        <x:f>IF(AND(COUNTA(A124:J124,L124,O124,S124:T124,W124)&gt;0,OR(Listas!$B$20="Todos",I124=Listas!$B$20)),1,0)</x:f>
        <x:v>0</x:v>
      </x:c>
      <x:c r="Z124" s="194" t="n">
        <x:f>IF(AND(Y124=1,X124="",J124&lt;&gt;"Cancelado",NOT(OR(J124="Fechado",J124="Resolvido"))),1,0)</x:f>
        <x:v>0</x:v>
      </x:c>
      <x:c r="AA124" s="194" t="n">
        <x:f>IF(AND(Y124=1,X124="",OR(J124="Fechado",J124="Resolvido")),1,0)</x:f>
        <x:v>0</x:v>
      </x:c>
      <x:c r="AB124" s="194" t="n">
        <x:f>IF(Y124=0,0,IF(X124&lt;&gt;"",1,IF(Z124=0,0,IF(P124="ATRASADO",2,IF(AND(M124="ATRASADO",L124=""),3,IF(V124="ESCALAR",4,IF(V124="REVISAR BACKLOG",5,0)))))))</x:f>
        <x:v>0</x:v>
      </x:c>
      <x:c r="AC124" s="194" t="str">
        <x:f>IF(AB124=0,"",COUNTIFS($AB$5:$AB$204,"&gt;0",$AB$5:$AB$204,"&lt;"&amp;AB124)+COUNTIFS($AB$5:AB124,AB124))</x:f>
      </x:c>
      <x:c r="AD124" s="194" t="n">
        <x:f>IF(AND(A124&lt;&gt;"",X124=""),1,0)</x:f>
        <x:v>0</x:v>
      </x:c>
      <x:c r="AE124" s="194" t="n">
        <x:f>IF(AND(Y124=1,X124&lt;&gt;""),1,0)</x:f>
        <x:v>0</x:v>
      </x:c>
      <x:c r="AF124" s="194" t="n">
        <x:f>IF(L124="",1,0)</x:f>
        <x:v>1</x:v>
      </x:c>
    </x:row>
    <x:row r="125">
      <x:c r="A125" s="28"/>
      <x:c r="B125" s="41"/>
      <x:c r="C125" s="28"/>
      <x:c r="D125" s="28"/>
      <x:c r="E125" s="28"/>
      <x:c r="F125" s="28"/>
      <x:c r="G125" s="28"/>
      <x:c r="H125" s="28"/>
      <x:c r="I125" s="28"/>
      <x:c r="J125" s="28"/>
      <x:c r="K125" s="54" t="str">
        <x:f>IF(OR(A125="",X125&lt;&gt;""),"",B125+INDEX(Listas!$B$6:$B$9,MATCH(H125,Listas!$A$6:$A$9,0))/24)</x:f>
      </x:c>
      <x:c r="L125" s="41"/>
      <x:c r="M125" s="55" t="str">
        <x:f>IF(A125="","",IF(X125&lt;&gt;"","DADO PENDENTE",IF(J125="Cancelado","N.A.",IF(L125&lt;&gt;"",IF(L125&lt;=K125,"ATENDIDO","ATRASADO"),IF(OR(J125="Fechado",J125="Resolvido"),"SEM EVIDÊNCIA",IF(Listas!$B$18&gt;K125,"ATRASADO","PENDENTE"))))))</x:f>
      </x:c>
      <x:c r="N125" s="54" t="str">
        <x:f>IF(OR(A125="",X125&lt;&gt;""),"",B125+INDEX(Listas!$C$6:$C$9,MATCH(H125,Listas!$A$6:$A$9,0))/24)</x:f>
      </x:c>
      <x:c r="O125" s="41"/>
      <x:c r="P125" s="55" t="str">
        <x:f>IF(A125="","",IF(X125&lt;&gt;"","DADO PENDENTE",IF(J125="Cancelado","N.A.",IF(OR(J125="Fechado",J125="Resolvido"),IF(O125&lt;=N125,"ATENDIDO","ATRASADO"),IF(Listas!$B$18&gt;N125,"ATRASADO","PENDENTE")))))</x:f>
      </x:c>
      <x:c r="Q125" s="56" t="str">
        <x:f>IF(OR(A125="",X125&lt;&gt;"",J125="Cancelado"),"",24*IF(OR(J125="Fechado",J125="Resolvido"),O125-B125,Listas!$B$18-B125))</x:f>
      </x:c>
      <x:c r="R125" s="57" t="str">
        <x:f>IF(OR(A125="",X125&lt;&gt;"",J125="Cancelado"),"",INT(IF(OR(J125="Fechado",J125="Resolvido"),O125-B125,Listas!$B$18-B125)))</x:f>
      </x:c>
      <x:c r="S125" s="58"/>
      <x:c r="T125" s="58"/>
      <x:c r="U125" s="57" t="str">
        <x:f>IF(OR(A125="",X125&lt;&gt;"",J125="Cancelado"),"",S125*T125)</x:f>
      </x:c>
      <x:c r="V125" s="55" t="str">
        <x:f>IF(A125="","",IF(X125&lt;&gt;"","CORRIGIR DADOS",IF(J125="Cancelado","CANCELADO",IF(OR(J125="Fechado",J125="Resolvido"),"CONCLUÍDO",IF(OR(P125="ATRASADO",U125&gt;=Listas!$B$16),"ESCALAR",IF(AND(M125="ATRASADO",L125=""),"RESPONDER AGORA",IF(R125&gt;=Listas!$B$14,"REVISAR BACKLOG","ACOMPANHAR")))))))</x:f>
      </x:c>
      <x:c r="W125" s="28"/>
      <x:c r="X125" s="194" t="str">
        <x:f>IF(COUNTA(A125:J125,L125,O125,S125:T125,W125)=0,"",IF(OR(NOT(ISNUMBER(Listas!$B$14)),Listas!$B$14&lt;0,NOT(ISNUMBER(Listas!$B$16)),Listas!$B$16&lt;1,COUNT(Listas!$B$6:$C$9)&lt;&gt;8,MIN(Listas!$B$6:$C$9)&lt;=0),"Parâmetros inválidos",IF(A125="","ID ausente",IF(COUNTIFS($A$5:$A$204,A125)&lt;&gt;1,"ID duplicado",IF(OR(NOT(ISNUMBER(B125)),B125&lt;=0),"Abertura inválida",IF(OR(NOT(ISNUMBER(Listas!$B$18)),Listas!$B$18&lt;=0),"Data da análise inválida",IF(B125&gt;Listas!$B$18,"Abertura após análise",IF(COUNTIFS(Listas!$A$6:$A$9,H125)&lt;&gt;1,"Prioridade inválida",IF(COUNTIFS(Equipe!$A$5:$A$12,I125)&lt;&gt;1,"Responsável inválido",IF(COUNTIFS(Listas!$E$6:$E$11,J125)&lt;&gt;1,"Status inválido",IF(AND(L125&lt;&gt;"",OR(NOT(ISNUMBER(L125)),L125&lt;B125,L125&gt;Listas!$B$18)),"Resposta inválida",IF(AND(O125&lt;&gt;"",OR(NOT(ISNUMBER(O125)),O125&lt;B125,O125&gt;Listas!$B$18)),"Resolução inválida",IF(AND(OR(J125="Fechado",J125="Resolvido"),O125=""),"Conclusão sem resolução",IF(OR(NOT(ISNUMBER(S125)),S125&lt;1,S125&gt;5,IF(ISNUMBER(S125),S125&lt;&gt;INT(S125),FALSE),NOT(ISNUMBER(T125)),T125&lt;1,T125&gt;5,IF(ISNUMBER(T125),T125&lt;&gt;INT(T125),FALSE)),"Impacto ou urgência inválido",""))))))))))))))</x:f>
      </x:c>
      <x:c r="Y125" s="194" t="n">
        <x:f>IF(AND(COUNTA(A125:J125,L125,O125,S125:T125,W125)&gt;0,OR(Listas!$B$20="Todos",I125=Listas!$B$20)),1,0)</x:f>
        <x:v>0</x:v>
      </x:c>
      <x:c r="Z125" s="194" t="n">
        <x:f>IF(AND(Y125=1,X125="",J125&lt;&gt;"Cancelado",NOT(OR(J125="Fechado",J125="Resolvido"))),1,0)</x:f>
        <x:v>0</x:v>
      </x:c>
      <x:c r="AA125" s="194" t="n">
        <x:f>IF(AND(Y125=1,X125="",OR(J125="Fechado",J125="Resolvido")),1,0)</x:f>
        <x:v>0</x:v>
      </x:c>
      <x:c r="AB125" s="194" t="n">
        <x:f>IF(Y125=0,0,IF(X125&lt;&gt;"",1,IF(Z125=0,0,IF(P125="ATRASADO",2,IF(AND(M125="ATRASADO",L125=""),3,IF(V125="ESCALAR",4,IF(V125="REVISAR BACKLOG",5,0)))))))</x:f>
        <x:v>0</x:v>
      </x:c>
      <x:c r="AC125" s="194" t="str">
        <x:f>IF(AB125=0,"",COUNTIFS($AB$5:$AB$204,"&gt;0",$AB$5:$AB$204,"&lt;"&amp;AB125)+COUNTIFS($AB$5:AB125,AB125))</x:f>
      </x:c>
      <x:c r="AD125" s="194" t="n">
        <x:f>IF(AND(A125&lt;&gt;"",X125=""),1,0)</x:f>
        <x:v>0</x:v>
      </x:c>
      <x:c r="AE125" s="194" t="n">
        <x:f>IF(AND(Y125=1,X125&lt;&gt;""),1,0)</x:f>
        <x:v>0</x:v>
      </x:c>
      <x:c r="AF125" s="194" t="n">
        <x:f>IF(L125="",1,0)</x:f>
        <x:v>1</x:v>
      </x:c>
    </x:row>
    <x:row r="126">
      <x:c r="A126" s="28"/>
      <x:c r="B126" s="41"/>
      <x:c r="C126" s="28"/>
      <x:c r="D126" s="28"/>
      <x:c r="E126" s="28"/>
      <x:c r="F126" s="28"/>
      <x:c r="G126" s="28"/>
      <x:c r="H126" s="28"/>
      <x:c r="I126" s="28"/>
      <x:c r="J126" s="28"/>
      <x:c r="K126" s="54" t="str">
        <x:f>IF(OR(A126="",X126&lt;&gt;""),"",B126+INDEX(Listas!$B$6:$B$9,MATCH(H126,Listas!$A$6:$A$9,0))/24)</x:f>
      </x:c>
      <x:c r="L126" s="41"/>
      <x:c r="M126" s="55" t="str">
        <x:f>IF(A126="","",IF(X126&lt;&gt;"","DADO PENDENTE",IF(J126="Cancelado","N.A.",IF(L126&lt;&gt;"",IF(L126&lt;=K126,"ATENDIDO","ATRASADO"),IF(OR(J126="Fechado",J126="Resolvido"),"SEM EVIDÊNCIA",IF(Listas!$B$18&gt;K126,"ATRASADO","PENDENTE"))))))</x:f>
      </x:c>
      <x:c r="N126" s="54" t="str">
        <x:f>IF(OR(A126="",X126&lt;&gt;""),"",B126+INDEX(Listas!$C$6:$C$9,MATCH(H126,Listas!$A$6:$A$9,0))/24)</x:f>
      </x:c>
      <x:c r="O126" s="41"/>
      <x:c r="P126" s="55" t="str">
        <x:f>IF(A126="","",IF(X126&lt;&gt;"","DADO PENDENTE",IF(J126="Cancelado","N.A.",IF(OR(J126="Fechado",J126="Resolvido"),IF(O126&lt;=N126,"ATENDIDO","ATRASADO"),IF(Listas!$B$18&gt;N126,"ATRASADO","PENDENTE")))))</x:f>
      </x:c>
      <x:c r="Q126" s="56" t="str">
        <x:f>IF(OR(A126="",X126&lt;&gt;"",J126="Cancelado"),"",24*IF(OR(J126="Fechado",J126="Resolvido"),O126-B126,Listas!$B$18-B126))</x:f>
      </x:c>
      <x:c r="R126" s="57" t="str">
        <x:f>IF(OR(A126="",X126&lt;&gt;"",J126="Cancelado"),"",INT(IF(OR(J126="Fechado",J126="Resolvido"),O126-B126,Listas!$B$18-B126)))</x:f>
      </x:c>
      <x:c r="S126" s="58"/>
      <x:c r="T126" s="58"/>
      <x:c r="U126" s="57" t="str">
        <x:f>IF(OR(A126="",X126&lt;&gt;"",J126="Cancelado"),"",S126*T126)</x:f>
      </x:c>
      <x:c r="V126" s="55" t="str">
        <x:f>IF(A126="","",IF(X126&lt;&gt;"","CORRIGIR DADOS",IF(J126="Cancelado","CANCELADO",IF(OR(J126="Fechado",J126="Resolvido"),"CONCLUÍDO",IF(OR(P126="ATRASADO",U126&gt;=Listas!$B$16),"ESCALAR",IF(AND(M126="ATRASADO",L126=""),"RESPONDER AGORA",IF(R126&gt;=Listas!$B$14,"REVISAR BACKLOG","ACOMPANHAR")))))))</x:f>
      </x:c>
      <x:c r="W126" s="28"/>
      <x:c r="X126" s="194" t="str">
        <x:f>IF(COUNTA(A126:J126,L126,O126,S126:T126,W126)=0,"",IF(OR(NOT(ISNUMBER(Listas!$B$14)),Listas!$B$14&lt;0,NOT(ISNUMBER(Listas!$B$16)),Listas!$B$16&lt;1,COUNT(Listas!$B$6:$C$9)&lt;&gt;8,MIN(Listas!$B$6:$C$9)&lt;=0),"Parâmetros inválidos",IF(A126="","ID ausente",IF(COUNTIFS($A$5:$A$204,A126)&lt;&gt;1,"ID duplicado",IF(OR(NOT(ISNUMBER(B126)),B126&lt;=0),"Abertura inválida",IF(OR(NOT(ISNUMBER(Listas!$B$18)),Listas!$B$18&lt;=0),"Data da análise inválida",IF(B126&gt;Listas!$B$18,"Abertura após análise",IF(COUNTIFS(Listas!$A$6:$A$9,H126)&lt;&gt;1,"Prioridade inválida",IF(COUNTIFS(Equipe!$A$5:$A$12,I126)&lt;&gt;1,"Responsável inválido",IF(COUNTIFS(Listas!$E$6:$E$11,J126)&lt;&gt;1,"Status inválido",IF(AND(L126&lt;&gt;"",OR(NOT(ISNUMBER(L126)),L126&lt;B126,L126&gt;Listas!$B$18)),"Resposta inválida",IF(AND(O126&lt;&gt;"",OR(NOT(ISNUMBER(O126)),O126&lt;B126,O126&gt;Listas!$B$18)),"Resolução inválida",IF(AND(OR(J126="Fechado",J126="Resolvido"),O126=""),"Conclusão sem resolução",IF(OR(NOT(ISNUMBER(S126)),S126&lt;1,S126&gt;5,IF(ISNUMBER(S126),S126&lt;&gt;INT(S126),FALSE),NOT(ISNUMBER(T126)),T126&lt;1,T126&gt;5,IF(ISNUMBER(T126),T126&lt;&gt;INT(T126),FALSE)),"Impacto ou urgência inválido",""))))))))))))))</x:f>
      </x:c>
      <x:c r="Y126" s="194" t="n">
        <x:f>IF(AND(COUNTA(A126:J126,L126,O126,S126:T126,W126)&gt;0,OR(Listas!$B$20="Todos",I126=Listas!$B$20)),1,0)</x:f>
        <x:v>0</x:v>
      </x:c>
      <x:c r="Z126" s="194" t="n">
        <x:f>IF(AND(Y126=1,X126="",J126&lt;&gt;"Cancelado",NOT(OR(J126="Fechado",J126="Resolvido"))),1,0)</x:f>
        <x:v>0</x:v>
      </x:c>
      <x:c r="AA126" s="194" t="n">
        <x:f>IF(AND(Y126=1,X126="",OR(J126="Fechado",J126="Resolvido")),1,0)</x:f>
        <x:v>0</x:v>
      </x:c>
      <x:c r="AB126" s="194" t="n">
        <x:f>IF(Y126=0,0,IF(X126&lt;&gt;"",1,IF(Z126=0,0,IF(P126="ATRASADO",2,IF(AND(M126="ATRASADO",L126=""),3,IF(V126="ESCALAR",4,IF(V126="REVISAR BACKLOG",5,0)))))))</x:f>
        <x:v>0</x:v>
      </x:c>
      <x:c r="AC126" s="194" t="str">
        <x:f>IF(AB126=0,"",COUNTIFS($AB$5:$AB$204,"&gt;0",$AB$5:$AB$204,"&lt;"&amp;AB126)+COUNTIFS($AB$5:AB126,AB126))</x:f>
      </x:c>
      <x:c r="AD126" s="194" t="n">
        <x:f>IF(AND(A126&lt;&gt;"",X126=""),1,0)</x:f>
        <x:v>0</x:v>
      </x:c>
      <x:c r="AE126" s="194" t="n">
        <x:f>IF(AND(Y126=1,X126&lt;&gt;""),1,0)</x:f>
        <x:v>0</x:v>
      </x:c>
      <x:c r="AF126" s="194" t="n">
        <x:f>IF(L126="",1,0)</x:f>
        <x:v>1</x:v>
      </x:c>
    </x:row>
    <x:row r="127">
      <x:c r="A127" s="28"/>
      <x:c r="B127" s="41"/>
      <x:c r="C127" s="28"/>
      <x:c r="D127" s="28"/>
      <x:c r="E127" s="28"/>
      <x:c r="F127" s="28"/>
      <x:c r="G127" s="28"/>
      <x:c r="H127" s="28"/>
      <x:c r="I127" s="28"/>
      <x:c r="J127" s="28"/>
      <x:c r="K127" s="54" t="str">
        <x:f>IF(OR(A127="",X127&lt;&gt;""),"",B127+INDEX(Listas!$B$6:$B$9,MATCH(H127,Listas!$A$6:$A$9,0))/24)</x:f>
      </x:c>
      <x:c r="L127" s="41"/>
      <x:c r="M127" s="55" t="str">
        <x:f>IF(A127="","",IF(X127&lt;&gt;"","DADO PENDENTE",IF(J127="Cancelado","N.A.",IF(L127&lt;&gt;"",IF(L127&lt;=K127,"ATENDIDO","ATRASADO"),IF(OR(J127="Fechado",J127="Resolvido"),"SEM EVIDÊNCIA",IF(Listas!$B$18&gt;K127,"ATRASADO","PENDENTE"))))))</x:f>
      </x:c>
      <x:c r="N127" s="54" t="str">
        <x:f>IF(OR(A127="",X127&lt;&gt;""),"",B127+INDEX(Listas!$C$6:$C$9,MATCH(H127,Listas!$A$6:$A$9,0))/24)</x:f>
      </x:c>
      <x:c r="O127" s="41"/>
      <x:c r="P127" s="55" t="str">
        <x:f>IF(A127="","",IF(X127&lt;&gt;"","DADO PENDENTE",IF(J127="Cancelado","N.A.",IF(OR(J127="Fechado",J127="Resolvido"),IF(O127&lt;=N127,"ATENDIDO","ATRASADO"),IF(Listas!$B$18&gt;N127,"ATRASADO","PENDENTE")))))</x:f>
      </x:c>
      <x:c r="Q127" s="56" t="str">
        <x:f>IF(OR(A127="",X127&lt;&gt;"",J127="Cancelado"),"",24*IF(OR(J127="Fechado",J127="Resolvido"),O127-B127,Listas!$B$18-B127))</x:f>
      </x:c>
      <x:c r="R127" s="57" t="str">
        <x:f>IF(OR(A127="",X127&lt;&gt;"",J127="Cancelado"),"",INT(IF(OR(J127="Fechado",J127="Resolvido"),O127-B127,Listas!$B$18-B127)))</x:f>
      </x:c>
      <x:c r="S127" s="58"/>
      <x:c r="T127" s="58"/>
      <x:c r="U127" s="57" t="str">
        <x:f>IF(OR(A127="",X127&lt;&gt;"",J127="Cancelado"),"",S127*T127)</x:f>
      </x:c>
      <x:c r="V127" s="55" t="str">
        <x:f>IF(A127="","",IF(X127&lt;&gt;"","CORRIGIR DADOS",IF(J127="Cancelado","CANCELADO",IF(OR(J127="Fechado",J127="Resolvido"),"CONCLUÍDO",IF(OR(P127="ATRASADO",U127&gt;=Listas!$B$16),"ESCALAR",IF(AND(M127="ATRASADO",L127=""),"RESPONDER AGORA",IF(R127&gt;=Listas!$B$14,"REVISAR BACKLOG","ACOMPANHAR")))))))</x:f>
      </x:c>
      <x:c r="W127" s="28"/>
      <x:c r="X127" s="194" t="str">
        <x:f>IF(COUNTA(A127:J127,L127,O127,S127:T127,W127)=0,"",IF(OR(NOT(ISNUMBER(Listas!$B$14)),Listas!$B$14&lt;0,NOT(ISNUMBER(Listas!$B$16)),Listas!$B$16&lt;1,COUNT(Listas!$B$6:$C$9)&lt;&gt;8,MIN(Listas!$B$6:$C$9)&lt;=0),"Parâmetros inválidos",IF(A127="","ID ausente",IF(COUNTIFS($A$5:$A$204,A127)&lt;&gt;1,"ID duplicado",IF(OR(NOT(ISNUMBER(B127)),B127&lt;=0),"Abertura inválida",IF(OR(NOT(ISNUMBER(Listas!$B$18)),Listas!$B$18&lt;=0),"Data da análise inválida",IF(B127&gt;Listas!$B$18,"Abertura após análise",IF(COUNTIFS(Listas!$A$6:$A$9,H127)&lt;&gt;1,"Prioridade inválida",IF(COUNTIFS(Equipe!$A$5:$A$12,I127)&lt;&gt;1,"Responsável inválido",IF(COUNTIFS(Listas!$E$6:$E$11,J127)&lt;&gt;1,"Status inválido",IF(AND(L127&lt;&gt;"",OR(NOT(ISNUMBER(L127)),L127&lt;B127,L127&gt;Listas!$B$18)),"Resposta inválida",IF(AND(O127&lt;&gt;"",OR(NOT(ISNUMBER(O127)),O127&lt;B127,O127&gt;Listas!$B$18)),"Resolução inválida",IF(AND(OR(J127="Fechado",J127="Resolvido"),O127=""),"Conclusão sem resolução",IF(OR(NOT(ISNUMBER(S127)),S127&lt;1,S127&gt;5,IF(ISNUMBER(S127),S127&lt;&gt;INT(S127),FALSE),NOT(ISNUMBER(T127)),T127&lt;1,T127&gt;5,IF(ISNUMBER(T127),T127&lt;&gt;INT(T127),FALSE)),"Impacto ou urgência inválido",""))))))))))))))</x:f>
      </x:c>
      <x:c r="Y127" s="194" t="n">
        <x:f>IF(AND(COUNTA(A127:J127,L127,O127,S127:T127,W127)&gt;0,OR(Listas!$B$20="Todos",I127=Listas!$B$20)),1,0)</x:f>
        <x:v>0</x:v>
      </x:c>
      <x:c r="Z127" s="194" t="n">
        <x:f>IF(AND(Y127=1,X127="",J127&lt;&gt;"Cancelado",NOT(OR(J127="Fechado",J127="Resolvido"))),1,0)</x:f>
        <x:v>0</x:v>
      </x:c>
      <x:c r="AA127" s="194" t="n">
        <x:f>IF(AND(Y127=1,X127="",OR(J127="Fechado",J127="Resolvido")),1,0)</x:f>
        <x:v>0</x:v>
      </x:c>
      <x:c r="AB127" s="194" t="n">
        <x:f>IF(Y127=0,0,IF(X127&lt;&gt;"",1,IF(Z127=0,0,IF(P127="ATRASADO",2,IF(AND(M127="ATRASADO",L127=""),3,IF(V127="ESCALAR",4,IF(V127="REVISAR BACKLOG",5,0)))))))</x:f>
        <x:v>0</x:v>
      </x:c>
      <x:c r="AC127" s="194" t="str">
        <x:f>IF(AB127=0,"",COUNTIFS($AB$5:$AB$204,"&gt;0",$AB$5:$AB$204,"&lt;"&amp;AB127)+COUNTIFS($AB$5:AB127,AB127))</x:f>
      </x:c>
      <x:c r="AD127" s="194" t="n">
        <x:f>IF(AND(A127&lt;&gt;"",X127=""),1,0)</x:f>
        <x:v>0</x:v>
      </x:c>
      <x:c r="AE127" s="194" t="n">
        <x:f>IF(AND(Y127=1,X127&lt;&gt;""),1,0)</x:f>
        <x:v>0</x:v>
      </x:c>
      <x:c r="AF127" s="194" t="n">
        <x:f>IF(L127="",1,0)</x:f>
        <x:v>1</x:v>
      </x:c>
    </x:row>
    <x:row r="128">
      <x:c r="A128" s="28"/>
      <x:c r="B128" s="41"/>
      <x:c r="C128" s="28"/>
      <x:c r="D128" s="28"/>
      <x:c r="E128" s="28"/>
      <x:c r="F128" s="28"/>
      <x:c r="G128" s="28"/>
      <x:c r="H128" s="28"/>
      <x:c r="I128" s="28"/>
      <x:c r="J128" s="28"/>
      <x:c r="K128" s="54" t="str">
        <x:f>IF(OR(A128="",X128&lt;&gt;""),"",B128+INDEX(Listas!$B$6:$B$9,MATCH(H128,Listas!$A$6:$A$9,0))/24)</x:f>
      </x:c>
      <x:c r="L128" s="41"/>
      <x:c r="M128" s="55" t="str">
        <x:f>IF(A128="","",IF(X128&lt;&gt;"","DADO PENDENTE",IF(J128="Cancelado","N.A.",IF(L128&lt;&gt;"",IF(L128&lt;=K128,"ATENDIDO","ATRASADO"),IF(OR(J128="Fechado",J128="Resolvido"),"SEM EVIDÊNCIA",IF(Listas!$B$18&gt;K128,"ATRASADO","PENDENTE"))))))</x:f>
      </x:c>
      <x:c r="N128" s="54" t="str">
        <x:f>IF(OR(A128="",X128&lt;&gt;""),"",B128+INDEX(Listas!$C$6:$C$9,MATCH(H128,Listas!$A$6:$A$9,0))/24)</x:f>
      </x:c>
      <x:c r="O128" s="41"/>
      <x:c r="P128" s="55" t="str">
        <x:f>IF(A128="","",IF(X128&lt;&gt;"","DADO PENDENTE",IF(J128="Cancelado","N.A.",IF(OR(J128="Fechado",J128="Resolvido"),IF(O128&lt;=N128,"ATENDIDO","ATRASADO"),IF(Listas!$B$18&gt;N128,"ATRASADO","PENDENTE")))))</x:f>
      </x:c>
      <x:c r="Q128" s="56" t="str">
        <x:f>IF(OR(A128="",X128&lt;&gt;"",J128="Cancelado"),"",24*IF(OR(J128="Fechado",J128="Resolvido"),O128-B128,Listas!$B$18-B128))</x:f>
      </x:c>
      <x:c r="R128" s="57" t="str">
        <x:f>IF(OR(A128="",X128&lt;&gt;"",J128="Cancelado"),"",INT(IF(OR(J128="Fechado",J128="Resolvido"),O128-B128,Listas!$B$18-B128)))</x:f>
      </x:c>
      <x:c r="S128" s="58"/>
      <x:c r="T128" s="58"/>
      <x:c r="U128" s="57" t="str">
        <x:f>IF(OR(A128="",X128&lt;&gt;"",J128="Cancelado"),"",S128*T128)</x:f>
      </x:c>
      <x:c r="V128" s="55" t="str">
        <x:f>IF(A128="","",IF(X128&lt;&gt;"","CORRIGIR DADOS",IF(J128="Cancelado","CANCELADO",IF(OR(J128="Fechado",J128="Resolvido"),"CONCLUÍDO",IF(OR(P128="ATRASADO",U128&gt;=Listas!$B$16),"ESCALAR",IF(AND(M128="ATRASADO",L128=""),"RESPONDER AGORA",IF(R128&gt;=Listas!$B$14,"REVISAR BACKLOG","ACOMPANHAR")))))))</x:f>
      </x:c>
      <x:c r="W128" s="28"/>
      <x:c r="X128" s="194" t="str">
        <x:f>IF(COUNTA(A128:J128,L128,O128,S128:T128,W128)=0,"",IF(OR(NOT(ISNUMBER(Listas!$B$14)),Listas!$B$14&lt;0,NOT(ISNUMBER(Listas!$B$16)),Listas!$B$16&lt;1,COUNT(Listas!$B$6:$C$9)&lt;&gt;8,MIN(Listas!$B$6:$C$9)&lt;=0),"Parâmetros inválidos",IF(A128="","ID ausente",IF(COUNTIFS($A$5:$A$204,A128)&lt;&gt;1,"ID duplicado",IF(OR(NOT(ISNUMBER(B128)),B128&lt;=0),"Abertura inválida",IF(OR(NOT(ISNUMBER(Listas!$B$18)),Listas!$B$18&lt;=0),"Data da análise inválida",IF(B128&gt;Listas!$B$18,"Abertura após análise",IF(COUNTIFS(Listas!$A$6:$A$9,H128)&lt;&gt;1,"Prioridade inválida",IF(COUNTIFS(Equipe!$A$5:$A$12,I128)&lt;&gt;1,"Responsável inválido",IF(COUNTIFS(Listas!$E$6:$E$11,J128)&lt;&gt;1,"Status inválido",IF(AND(L128&lt;&gt;"",OR(NOT(ISNUMBER(L128)),L128&lt;B128,L128&gt;Listas!$B$18)),"Resposta inválida",IF(AND(O128&lt;&gt;"",OR(NOT(ISNUMBER(O128)),O128&lt;B128,O128&gt;Listas!$B$18)),"Resolução inválida",IF(AND(OR(J128="Fechado",J128="Resolvido"),O128=""),"Conclusão sem resolução",IF(OR(NOT(ISNUMBER(S128)),S128&lt;1,S128&gt;5,IF(ISNUMBER(S128),S128&lt;&gt;INT(S128),FALSE),NOT(ISNUMBER(T128)),T128&lt;1,T128&gt;5,IF(ISNUMBER(T128),T128&lt;&gt;INT(T128),FALSE)),"Impacto ou urgência inválido",""))))))))))))))</x:f>
      </x:c>
      <x:c r="Y128" s="194" t="n">
        <x:f>IF(AND(COUNTA(A128:J128,L128,O128,S128:T128,W128)&gt;0,OR(Listas!$B$20="Todos",I128=Listas!$B$20)),1,0)</x:f>
        <x:v>0</x:v>
      </x:c>
      <x:c r="Z128" s="194" t="n">
        <x:f>IF(AND(Y128=1,X128="",J128&lt;&gt;"Cancelado",NOT(OR(J128="Fechado",J128="Resolvido"))),1,0)</x:f>
        <x:v>0</x:v>
      </x:c>
      <x:c r="AA128" s="194" t="n">
        <x:f>IF(AND(Y128=1,X128="",OR(J128="Fechado",J128="Resolvido")),1,0)</x:f>
        <x:v>0</x:v>
      </x:c>
      <x:c r="AB128" s="194" t="n">
        <x:f>IF(Y128=0,0,IF(X128&lt;&gt;"",1,IF(Z128=0,0,IF(P128="ATRASADO",2,IF(AND(M128="ATRASADO",L128=""),3,IF(V128="ESCALAR",4,IF(V128="REVISAR BACKLOG",5,0)))))))</x:f>
        <x:v>0</x:v>
      </x:c>
      <x:c r="AC128" s="194" t="str">
        <x:f>IF(AB128=0,"",COUNTIFS($AB$5:$AB$204,"&gt;0",$AB$5:$AB$204,"&lt;"&amp;AB128)+COUNTIFS($AB$5:AB128,AB128))</x:f>
      </x:c>
      <x:c r="AD128" s="194" t="n">
        <x:f>IF(AND(A128&lt;&gt;"",X128=""),1,0)</x:f>
        <x:v>0</x:v>
      </x:c>
      <x:c r="AE128" s="194" t="n">
        <x:f>IF(AND(Y128=1,X128&lt;&gt;""),1,0)</x:f>
        <x:v>0</x:v>
      </x:c>
      <x:c r="AF128" s="194" t="n">
        <x:f>IF(L128="",1,0)</x:f>
        <x:v>1</x:v>
      </x:c>
    </x:row>
    <x:row r="129">
      <x:c r="A129" s="28"/>
      <x:c r="B129" s="41"/>
      <x:c r="C129" s="28"/>
      <x:c r="D129" s="28"/>
      <x:c r="E129" s="28"/>
      <x:c r="F129" s="28"/>
      <x:c r="G129" s="28"/>
      <x:c r="H129" s="28"/>
      <x:c r="I129" s="28"/>
      <x:c r="J129" s="28"/>
      <x:c r="K129" s="54" t="str">
        <x:f>IF(OR(A129="",X129&lt;&gt;""),"",B129+INDEX(Listas!$B$6:$B$9,MATCH(H129,Listas!$A$6:$A$9,0))/24)</x:f>
      </x:c>
      <x:c r="L129" s="41"/>
      <x:c r="M129" s="55" t="str">
        <x:f>IF(A129="","",IF(X129&lt;&gt;"","DADO PENDENTE",IF(J129="Cancelado","N.A.",IF(L129&lt;&gt;"",IF(L129&lt;=K129,"ATENDIDO","ATRASADO"),IF(OR(J129="Fechado",J129="Resolvido"),"SEM EVIDÊNCIA",IF(Listas!$B$18&gt;K129,"ATRASADO","PENDENTE"))))))</x:f>
      </x:c>
      <x:c r="N129" s="54" t="str">
        <x:f>IF(OR(A129="",X129&lt;&gt;""),"",B129+INDEX(Listas!$C$6:$C$9,MATCH(H129,Listas!$A$6:$A$9,0))/24)</x:f>
      </x:c>
      <x:c r="O129" s="41"/>
      <x:c r="P129" s="55" t="str">
        <x:f>IF(A129="","",IF(X129&lt;&gt;"","DADO PENDENTE",IF(J129="Cancelado","N.A.",IF(OR(J129="Fechado",J129="Resolvido"),IF(O129&lt;=N129,"ATENDIDO","ATRASADO"),IF(Listas!$B$18&gt;N129,"ATRASADO","PENDENTE")))))</x:f>
      </x:c>
      <x:c r="Q129" s="56" t="str">
        <x:f>IF(OR(A129="",X129&lt;&gt;"",J129="Cancelado"),"",24*IF(OR(J129="Fechado",J129="Resolvido"),O129-B129,Listas!$B$18-B129))</x:f>
      </x:c>
      <x:c r="R129" s="57" t="str">
        <x:f>IF(OR(A129="",X129&lt;&gt;"",J129="Cancelado"),"",INT(IF(OR(J129="Fechado",J129="Resolvido"),O129-B129,Listas!$B$18-B129)))</x:f>
      </x:c>
      <x:c r="S129" s="58"/>
      <x:c r="T129" s="58"/>
      <x:c r="U129" s="57" t="str">
        <x:f>IF(OR(A129="",X129&lt;&gt;"",J129="Cancelado"),"",S129*T129)</x:f>
      </x:c>
      <x:c r="V129" s="55" t="str">
        <x:f>IF(A129="","",IF(X129&lt;&gt;"","CORRIGIR DADOS",IF(J129="Cancelado","CANCELADO",IF(OR(J129="Fechado",J129="Resolvido"),"CONCLUÍDO",IF(OR(P129="ATRASADO",U129&gt;=Listas!$B$16),"ESCALAR",IF(AND(M129="ATRASADO",L129=""),"RESPONDER AGORA",IF(R129&gt;=Listas!$B$14,"REVISAR BACKLOG","ACOMPANHAR")))))))</x:f>
      </x:c>
      <x:c r="W129" s="28"/>
      <x:c r="X129" s="194" t="str">
        <x:f>IF(COUNTA(A129:J129,L129,O129,S129:T129,W129)=0,"",IF(OR(NOT(ISNUMBER(Listas!$B$14)),Listas!$B$14&lt;0,NOT(ISNUMBER(Listas!$B$16)),Listas!$B$16&lt;1,COUNT(Listas!$B$6:$C$9)&lt;&gt;8,MIN(Listas!$B$6:$C$9)&lt;=0),"Parâmetros inválidos",IF(A129="","ID ausente",IF(COUNTIFS($A$5:$A$204,A129)&lt;&gt;1,"ID duplicado",IF(OR(NOT(ISNUMBER(B129)),B129&lt;=0),"Abertura inválida",IF(OR(NOT(ISNUMBER(Listas!$B$18)),Listas!$B$18&lt;=0),"Data da análise inválida",IF(B129&gt;Listas!$B$18,"Abertura após análise",IF(COUNTIFS(Listas!$A$6:$A$9,H129)&lt;&gt;1,"Prioridade inválida",IF(COUNTIFS(Equipe!$A$5:$A$12,I129)&lt;&gt;1,"Responsável inválido",IF(COUNTIFS(Listas!$E$6:$E$11,J129)&lt;&gt;1,"Status inválido",IF(AND(L129&lt;&gt;"",OR(NOT(ISNUMBER(L129)),L129&lt;B129,L129&gt;Listas!$B$18)),"Resposta inválida",IF(AND(O129&lt;&gt;"",OR(NOT(ISNUMBER(O129)),O129&lt;B129,O129&gt;Listas!$B$18)),"Resolução inválida",IF(AND(OR(J129="Fechado",J129="Resolvido"),O129=""),"Conclusão sem resolução",IF(OR(NOT(ISNUMBER(S129)),S129&lt;1,S129&gt;5,IF(ISNUMBER(S129),S129&lt;&gt;INT(S129),FALSE),NOT(ISNUMBER(T129)),T129&lt;1,T129&gt;5,IF(ISNUMBER(T129),T129&lt;&gt;INT(T129),FALSE)),"Impacto ou urgência inválido",""))))))))))))))</x:f>
      </x:c>
      <x:c r="Y129" s="194" t="n">
        <x:f>IF(AND(COUNTA(A129:J129,L129,O129,S129:T129,W129)&gt;0,OR(Listas!$B$20="Todos",I129=Listas!$B$20)),1,0)</x:f>
        <x:v>0</x:v>
      </x:c>
      <x:c r="Z129" s="194" t="n">
        <x:f>IF(AND(Y129=1,X129="",J129&lt;&gt;"Cancelado",NOT(OR(J129="Fechado",J129="Resolvido"))),1,0)</x:f>
        <x:v>0</x:v>
      </x:c>
      <x:c r="AA129" s="194" t="n">
        <x:f>IF(AND(Y129=1,X129="",OR(J129="Fechado",J129="Resolvido")),1,0)</x:f>
        <x:v>0</x:v>
      </x:c>
      <x:c r="AB129" s="194" t="n">
        <x:f>IF(Y129=0,0,IF(X129&lt;&gt;"",1,IF(Z129=0,0,IF(P129="ATRASADO",2,IF(AND(M129="ATRASADO",L129=""),3,IF(V129="ESCALAR",4,IF(V129="REVISAR BACKLOG",5,0)))))))</x:f>
        <x:v>0</x:v>
      </x:c>
      <x:c r="AC129" s="194" t="str">
        <x:f>IF(AB129=0,"",COUNTIFS($AB$5:$AB$204,"&gt;0",$AB$5:$AB$204,"&lt;"&amp;AB129)+COUNTIFS($AB$5:AB129,AB129))</x:f>
      </x:c>
      <x:c r="AD129" s="194" t="n">
        <x:f>IF(AND(A129&lt;&gt;"",X129=""),1,0)</x:f>
        <x:v>0</x:v>
      </x:c>
      <x:c r="AE129" s="194" t="n">
        <x:f>IF(AND(Y129=1,X129&lt;&gt;""),1,0)</x:f>
        <x:v>0</x:v>
      </x:c>
      <x:c r="AF129" s="194" t="n">
        <x:f>IF(L129="",1,0)</x:f>
        <x:v>1</x:v>
      </x:c>
    </x:row>
    <x:row r="130">
      <x:c r="A130" s="28"/>
      <x:c r="B130" s="41"/>
      <x:c r="C130" s="28"/>
      <x:c r="D130" s="28"/>
      <x:c r="E130" s="28"/>
      <x:c r="F130" s="28"/>
      <x:c r="G130" s="28"/>
      <x:c r="H130" s="28"/>
      <x:c r="I130" s="28"/>
      <x:c r="J130" s="28"/>
      <x:c r="K130" s="54" t="str">
        <x:f>IF(OR(A130="",X130&lt;&gt;""),"",B130+INDEX(Listas!$B$6:$B$9,MATCH(H130,Listas!$A$6:$A$9,0))/24)</x:f>
      </x:c>
      <x:c r="L130" s="41"/>
      <x:c r="M130" s="55" t="str">
        <x:f>IF(A130="","",IF(X130&lt;&gt;"","DADO PENDENTE",IF(J130="Cancelado","N.A.",IF(L130&lt;&gt;"",IF(L130&lt;=K130,"ATENDIDO","ATRASADO"),IF(OR(J130="Fechado",J130="Resolvido"),"SEM EVIDÊNCIA",IF(Listas!$B$18&gt;K130,"ATRASADO","PENDENTE"))))))</x:f>
      </x:c>
      <x:c r="N130" s="54" t="str">
        <x:f>IF(OR(A130="",X130&lt;&gt;""),"",B130+INDEX(Listas!$C$6:$C$9,MATCH(H130,Listas!$A$6:$A$9,0))/24)</x:f>
      </x:c>
      <x:c r="O130" s="41"/>
      <x:c r="P130" s="55" t="str">
        <x:f>IF(A130="","",IF(X130&lt;&gt;"","DADO PENDENTE",IF(J130="Cancelado","N.A.",IF(OR(J130="Fechado",J130="Resolvido"),IF(O130&lt;=N130,"ATENDIDO","ATRASADO"),IF(Listas!$B$18&gt;N130,"ATRASADO","PENDENTE")))))</x:f>
      </x:c>
      <x:c r="Q130" s="56" t="str">
        <x:f>IF(OR(A130="",X130&lt;&gt;"",J130="Cancelado"),"",24*IF(OR(J130="Fechado",J130="Resolvido"),O130-B130,Listas!$B$18-B130))</x:f>
      </x:c>
      <x:c r="R130" s="57" t="str">
        <x:f>IF(OR(A130="",X130&lt;&gt;"",J130="Cancelado"),"",INT(IF(OR(J130="Fechado",J130="Resolvido"),O130-B130,Listas!$B$18-B130)))</x:f>
      </x:c>
      <x:c r="S130" s="58"/>
      <x:c r="T130" s="58"/>
      <x:c r="U130" s="57" t="str">
        <x:f>IF(OR(A130="",X130&lt;&gt;"",J130="Cancelado"),"",S130*T130)</x:f>
      </x:c>
      <x:c r="V130" s="55" t="str">
        <x:f>IF(A130="","",IF(X130&lt;&gt;"","CORRIGIR DADOS",IF(J130="Cancelado","CANCELADO",IF(OR(J130="Fechado",J130="Resolvido"),"CONCLUÍDO",IF(OR(P130="ATRASADO",U130&gt;=Listas!$B$16),"ESCALAR",IF(AND(M130="ATRASADO",L130=""),"RESPONDER AGORA",IF(R130&gt;=Listas!$B$14,"REVISAR BACKLOG","ACOMPANHAR")))))))</x:f>
      </x:c>
      <x:c r="W130" s="28"/>
      <x:c r="X130" s="194" t="str">
        <x:f>IF(COUNTA(A130:J130,L130,O130,S130:T130,W130)=0,"",IF(OR(NOT(ISNUMBER(Listas!$B$14)),Listas!$B$14&lt;0,NOT(ISNUMBER(Listas!$B$16)),Listas!$B$16&lt;1,COUNT(Listas!$B$6:$C$9)&lt;&gt;8,MIN(Listas!$B$6:$C$9)&lt;=0),"Parâmetros inválidos",IF(A130="","ID ausente",IF(COUNTIFS($A$5:$A$204,A130)&lt;&gt;1,"ID duplicado",IF(OR(NOT(ISNUMBER(B130)),B130&lt;=0),"Abertura inválida",IF(OR(NOT(ISNUMBER(Listas!$B$18)),Listas!$B$18&lt;=0),"Data da análise inválida",IF(B130&gt;Listas!$B$18,"Abertura após análise",IF(COUNTIFS(Listas!$A$6:$A$9,H130)&lt;&gt;1,"Prioridade inválida",IF(COUNTIFS(Equipe!$A$5:$A$12,I130)&lt;&gt;1,"Responsável inválido",IF(COUNTIFS(Listas!$E$6:$E$11,J130)&lt;&gt;1,"Status inválido",IF(AND(L130&lt;&gt;"",OR(NOT(ISNUMBER(L130)),L130&lt;B130,L130&gt;Listas!$B$18)),"Resposta inválida",IF(AND(O130&lt;&gt;"",OR(NOT(ISNUMBER(O130)),O130&lt;B130,O130&gt;Listas!$B$18)),"Resolução inválida",IF(AND(OR(J130="Fechado",J130="Resolvido"),O130=""),"Conclusão sem resolução",IF(OR(NOT(ISNUMBER(S130)),S130&lt;1,S130&gt;5,IF(ISNUMBER(S130),S130&lt;&gt;INT(S130),FALSE),NOT(ISNUMBER(T130)),T130&lt;1,T130&gt;5,IF(ISNUMBER(T130),T130&lt;&gt;INT(T130),FALSE)),"Impacto ou urgência inválido",""))))))))))))))</x:f>
      </x:c>
      <x:c r="Y130" s="194" t="n">
        <x:f>IF(AND(COUNTA(A130:J130,L130,O130,S130:T130,W130)&gt;0,OR(Listas!$B$20="Todos",I130=Listas!$B$20)),1,0)</x:f>
        <x:v>0</x:v>
      </x:c>
      <x:c r="Z130" s="194" t="n">
        <x:f>IF(AND(Y130=1,X130="",J130&lt;&gt;"Cancelado",NOT(OR(J130="Fechado",J130="Resolvido"))),1,0)</x:f>
        <x:v>0</x:v>
      </x:c>
      <x:c r="AA130" s="194" t="n">
        <x:f>IF(AND(Y130=1,X130="",OR(J130="Fechado",J130="Resolvido")),1,0)</x:f>
        <x:v>0</x:v>
      </x:c>
      <x:c r="AB130" s="194" t="n">
        <x:f>IF(Y130=0,0,IF(X130&lt;&gt;"",1,IF(Z130=0,0,IF(P130="ATRASADO",2,IF(AND(M130="ATRASADO",L130=""),3,IF(V130="ESCALAR",4,IF(V130="REVISAR BACKLOG",5,0)))))))</x:f>
        <x:v>0</x:v>
      </x:c>
      <x:c r="AC130" s="194" t="str">
        <x:f>IF(AB130=0,"",COUNTIFS($AB$5:$AB$204,"&gt;0",$AB$5:$AB$204,"&lt;"&amp;AB130)+COUNTIFS($AB$5:AB130,AB130))</x:f>
      </x:c>
      <x:c r="AD130" s="194" t="n">
        <x:f>IF(AND(A130&lt;&gt;"",X130=""),1,0)</x:f>
        <x:v>0</x:v>
      </x:c>
      <x:c r="AE130" s="194" t="n">
        <x:f>IF(AND(Y130=1,X130&lt;&gt;""),1,0)</x:f>
        <x:v>0</x:v>
      </x:c>
      <x:c r="AF130" s="194" t="n">
        <x:f>IF(L130="",1,0)</x:f>
        <x:v>1</x:v>
      </x:c>
    </x:row>
    <x:row r="131">
      <x:c r="A131" s="28"/>
      <x:c r="B131" s="41"/>
      <x:c r="C131" s="28"/>
      <x:c r="D131" s="28"/>
      <x:c r="E131" s="28"/>
      <x:c r="F131" s="28"/>
      <x:c r="G131" s="28"/>
      <x:c r="H131" s="28"/>
      <x:c r="I131" s="28"/>
      <x:c r="J131" s="28"/>
      <x:c r="K131" s="54" t="str">
        <x:f>IF(OR(A131="",X131&lt;&gt;""),"",B131+INDEX(Listas!$B$6:$B$9,MATCH(H131,Listas!$A$6:$A$9,0))/24)</x:f>
      </x:c>
      <x:c r="L131" s="41"/>
      <x:c r="M131" s="55" t="str">
        <x:f>IF(A131="","",IF(X131&lt;&gt;"","DADO PENDENTE",IF(J131="Cancelado","N.A.",IF(L131&lt;&gt;"",IF(L131&lt;=K131,"ATENDIDO","ATRASADO"),IF(OR(J131="Fechado",J131="Resolvido"),"SEM EVIDÊNCIA",IF(Listas!$B$18&gt;K131,"ATRASADO","PENDENTE"))))))</x:f>
      </x:c>
      <x:c r="N131" s="54" t="str">
        <x:f>IF(OR(A131="",X131&lt;&gt;""),"",B131+INDEX(Listas!$C$6:$C$9,MATCH(H131,Listas!$A$6:$A$9,0))/24)</x:f>
      </x:c>
      <x:c r="O131" s="41"/>
      <x:c r="P131" s="55" t="str">
        <x:f>IF(A131="","",IF(X131&lt;&gt;"","DADO PENDENTE",IF(J131="Cancelado","N.A.",IF(OR(J131="Fechado",J131="Resolvido"),IF(O131&lt;=N131,"ATENDIDO","ATRASADO"),IF(Listas!$B$18&gt;N131,"ATRASADO","PENDENTE")))))</x:f>
      </x:c>
      <x:c r="Q131" s="56" t="str">
        <x:f>IF(OR(A131="",X131&lt;&gt;"",J131="Cancelado"),"",24*IF(OR(J131="Fechado",J131="Resolvido"),O131-B131,Listas!$B$18-B131))</x:f>
      </x:c>
      <x:c r="R131" s="57" t="str">
        <x:f>IF(OR(A131="",X131&lt;&gt;"",J131="Cancelado"),"",INT(IF(OR(J131="Fechado",J131="Resolvido"),O131-B131,Listas!$B$18-B131)))</x:f>
      </x:c>
      <x:c r="S131" s="58"/>
      <x:c r="T131" s="58"/>
      <x:c r="U131" s="57" t="str">
        <x:f>IF(OR(A131="",X131&lt;&gt;"",J131="Cancelado"),"",S131*T131)</x:f>
      </x:c>
      <x:c r="V131" s="55" t="str">
        <x:f>IF(A131="","",IF(X131&lt;&gt;"","CORRIGIR DADOS",IF(J131="Cancelado","CANCELADO",IF(OR(J131="Fechado",J131="Resolvido"),"CONCLUÍDO",IF(OR(P131="ATRASADO",U131&gt;=Listas!$B$16),"ESCALAR",IF(AND(M131="ATRASADO",L131=""),"RESPONDER AGORA",IF(R131&gt;=Listas!$B$14,"REVISAR BACKLOG","ACOMPANHAR")))))))</x:f>
      </x:c>
      <x:c r="W131" s="28"/>
      <x:c r="X131" s="194" t="str">
        <x:f>IF(COUNTA(A131:J131,L131,O131,S131:T131,W131)=0,"",IF(OR(NOT(ISNUMBER(Listas!$B$14)),Listas!$B$14&lt;0,NOT(ISNUMBER(Listas!$B$16)),Listas!$B$16&lt;1,COUNT(Listas!$B$6:$C$9)&lt;&gt;8,MIN(Listas!$B$6:$C$9)&lt;=0),"Parâmetros inválidos",IF(A131="","ID ausente",IF(COUNTIFS($A$5:$A$204,A131)&lt;&gt;1,"ID duplicado",IF(OR(NOT(ISNUMBER(B131)),B131&lt;=0),"Abertura inválida",IF(OR(NOT(ISNUMBER(Listas!$B$18)),Listas!$B$18&lt;=0),"Data da análise inválida",IF(B131&gt;Listas!$B$18,"Abertura após análise",IF(COUNTIFS(Listas!$A$6:$A$9,H131)&lt;&gt;1,"Prioridade inválida",IF(COUNTIFS(Equipe!$A$5:$A$12,I131)&lt;&gt;1,"Responsável inválido",IF(COUNTIFS(Listas!$E$6:$E$11,J131)&lt;&gt;1,"Status inválido",IF(AND(L131&lt;&gt;"",OR(NOT(ISNUMBER(L131)),L131&lt;B131,L131&gt;Listas!$B$18)),"Resposta inválida",IF(AND(O131&lt;&gt;"",OR(NOT(ISNUMBER(O131)),O131&lt;B131,O131&gt;Listas!$B$18)),"Resolução inválida",IF(AND(OR(J131="Fechado",J131="Resolvido"),O131=""),"Conclusão sem resolução",IF(OR(NOT(ISNUMBER(S131)),S131&lt;1,S131&gt;5,IF(ISNUMBER(S131),S131&lt;&gt;INT(S131),FALSE),NOT(ISNUMBER(T131)),T131&lt;1,T131&gt;5,IF(ISNUMBER(T131),T131&lt;&gt;INT(T131),FALSE)),"Impacto ou urgência inválido",""))))))))))))))</x:f>
      </x:c>
      <x:c r="Y131" s="194" t="n">
        <x:f>IF(AND(COUNTA(A131:J131,L131,O131,S131:T131,W131)&gt;0,OR(Listas!$B$20="Todos",I131=Listas!$B$20)),1,0)</x:f>
        <x:v>0</x:v>
      </x:c>
      <x:c r="Z131" s="194" t="n">
        <x:f>IF(AND(Y131=1,X131="",J131&lt;&gt;"Cancelado",NOT(OR(J131="Fechado",J131="Resolvido"))),1,0)</x:f>
        <x:v>0</x:v>
      </x:c>
      <x:c r="AA131" s="194" t="n">
        <x:f>IF(AND(Y131=1,X131="",OR(J131="Fechado",J131="Resolvido")),1,0)</x:f>
        <x:v>0</x:v>
      </x:c>
      <x:c r="AB131" s="194" t="n">
        <x:f>IF(Y131=0,0,IF(X131&lt;&gt;"",1,IF(Z131=0,0,IF(P131="ATRASADO",2,IF(AND(M131="ATRASADO",L131=""),3,IF(V131="ESCALAR",4,IF(V131="REVISAR BACKLOG",5,0)))))))</x:f>
        <x:v>0</x:v>
      </x:c>
      <x:c r="AC131" s="194" t="str">
        <x:f>IF(AB131=0,"",COUNTIFS($AB$5:$AB$204,"&gt;0",$AB$5:$AB$204,"&lt;"&amp;AB131)+COUNTIFS($AB$5:AB131,AB131))</x:f>
      </x:c>
      <x:c r="AD131" s="194" t="n">
        <x:f>IF(AND(A131&lt;&gt;"",X131=""),1,0)</x:f>
        <x:v>0</x:v>
      </x:c>
      <x:c r="AE131" s="194" t="n">
        <x:f>IF(AND(Y131=1,X131&lt;&gt;""),1,0)</x:f>
        <x:v>0</x:v>
      </x:c>
      <x:c r="AF131" s="194" t="n">
        <x:f>IF(L131="",1,0)</x:f>
        <x:v>1</x:v>
      </x:c>
    </x:row>
    <x:row r="132">
      <x:c r="A132" s="28"/>
      <x:c r="B132" s="41"/>
      <x:c r="C132" s="28"/>
      <x:c r="D132" s="28"/>
      <x:c r="E132" s="28"/>
      <x:c r="F132" s="28"/>
      <x:c r="G132" s="28"/>
      <x:c r="H132" s="28"/>
      <x:c r="I132" s="28"/>
      <x:c r="J132" s="28"/>
      <x:c r="K132" s="54" t="str">
        <x:f>IF(OR(A132="",X132&lt;&gt;""),"",B132+INDEX(Listas!$B$6:$B$9,MATCH(H132,Listas!$A$6:$A$9,0))/24)</x:f>
      </x:c>
      <x:c r="L132" s="41"/>
      <x:c r="M132" s="55" t="str">
        <x:f>IF(A132="","",IF(X132&lt;&gt;"","DADO PENDENTE",IF(J132="Cancelado","N.A.",IF(L132&lt;&gt;"",IF(L132&lt;=K132,"ATENDIDO","ATRASADO"),IF(OR(J132="Fechado",J132="Resolvido"),"SEM EVIDÊNCIA",IF(Listas!$B$18&gt;K132,"ATRASADO","PENDENTE"))))))</x:f>
      </x:c>
      <x:c r="N132" s="54" t="str">
        <x:f>IF(OR(A132="",X132&lt;&gt;""),"",B132+INDEX(Listas!$C$6:$C$9,MATCH(H132,Listas!$A$6:$A$9,0))/24)</x:f>
      </x:c>
      <x:c r="O132" s="41"/>
      <x:c r="P132" s="55" t="str">
        <x:f>IF(A132="","",IF(X132&lt;&gt;"","DADO PENDENTE",IF(J132="Cancelado","N.A.",IF(OR(J132="Fechado",J132="Resolvido"),IF(O132&lt;=N132,"ATENDIDO","ATRASADO"),IF(Listas!$B$18&gt;N132,"ATRASADO","PENDENTE")))))</x:f>
      </x:c>
      <x:c r="Q132" s="56" t="str">
        <x:f>IF(OR(A132="",X132&lt;&gt;"",J132="Cancelado"),"",24*IF(OR(J132="Fechado",J132="Resolvido"),O132-B132,Listas!$B$18-B132))</x:f>
      </x:c>
      <x:c r="R132" s="57" t="str">
        <x:f>IF(OR(A132="",X132&lt;&gt;"",J132="Cancelado"),"",INT(IF(OR(J132="Fechado",J132="Resolvido"),O132-B132,Listas!$B$18-B132)))</x:f>
      </x:c>
      <x:c r="S132" s="58"/>
      <x:c r="T132" s="58"/>
      <x:c r="U132" s="57" t="str">
        <x:f>IF(OR(A132="",X132&lt;&gt;"",J132="Cancelado"),"",S132*T132)</x:f>
      </x:c>
      <x:c r="V132" s="55" t="str">
        <x:f>IF(A132="","",IF(X132&lt;&gt;"","CORRIGIR DADOS",IF(J132="Cancelado","CANCELADO",IF(OR(J132="Fechado",J132="Resolvido"),"CONCLUÍDO",IF(OR(P132="ATRASADO",U132&gt;=Listas!$B$16),"ESCALAR",IF(AND(M132="ATRASADO",L132=""),"RESPONDER AGORA",IF(R132&gt;=Listas!$B$14,"REVISAR BACKLOG","ACOMPANHAR")))))))</x:f>
      </x:c>
      <x:c r="W132" s="28"/>
      <x:c r="X132" s="194" t="str">
        <x:f>IF(COUNTA(A132:J132,L132,O132,S132:T132,W132)=0,"",IF(OR(NOT(ISNUMBER(Listas!$B$14)),Listas!$B$14&lt;0,NOT(ISNUMBER(Listas!$B$16)),Listas!$B$16&lt;1,COUNT(Listas!$B$6:$C$9)&lt;&gt;8,MIN(Listas!$B$6:$C$9)&lt;=0),"Parâmetros inválidos",IF(A132="","ID ausente",IF(COUNTIFS($A$5:$A$204,A132)&lt;&gt;1,"ID duplicado",IF(OR(NOT(ISNUMBER(B132)),B132&lt;=0),"Abertura inválida",IF(OR(NOT(ISNUMBER(Listas!$B$18)),Listas!$B$18&lt;=0),"Data da análise inválida",IF(B132&gt;Listas!$B$18,"Abertura após análise",IF(COUNTIFS(Listas!$A$6:$A$9,H132)&lt;&gt;1,"Prioridade inválida",IF(COUNTIFS(Equipe!$A$5:$A$12,I132)&lt;&gt;1,"Responsável inválido",IF(COUNTIFS(Listas!$E$6:$E$11,J132)&lt;&gt;1,"Status inválido",IF(AND(L132&lt;&gt;"",OR(NOT(ISNUMBER(L132)),L132&lt;B132,L132&gt;Listas!$B$18)),"Resposta inválida",IF(AND(O132&lt;&gt;"",OR(NOT(ISNUMBER(O132)),O132&lt;B132,O132&gt;Listas!$B$18)),"Resolução inválida",IF(AND(OR(J132="Fechado",J132="Resolvido"),O132=""),"Conclusão sem resolução",IF(OR(NOT(ISNUMBER(S132)),S132&lt;1,S132&gt;5,IF(ISNUMBER(S132),S132&lt;&gt;INT(S132),FALSE),NOT(ISNUMBER(T132)),T132&lt;1,T132&gt;5,IF(ISNUMBER(T132),T132&lt;&gt;INT(T132),FALSE)),"Impacto ou urgência inválido",""))))))))))))))</x:f>
      </x:c>
      <x:c r="Y132" s="194" t="n">
        <x:f>IF(AND(COUNTA(A132:J132,L132,O132,S132:T132,W132)&gt;0,OR(Listas!$B$20="Todos",I132=Listas!$B$20)),1,0)</x:f>
        <x:v>0</x:v>
      </x:c>
      <x:c r="Z132" s="194" t="n">
        <x:f>IF(AND(Y132=1,X132="",J132&lt;&gt;"Cancelado",NOT(OR(J132="Fechado",J132="Resolvido"))),1,0)</x:f>
        <x:v>0</x:v>
      </x:c>
      <x:c r="AA132" s="194" t="n">
        <x:f>IF(AND(Y132=1,X132="",OR(J132="Fechado",J132="Resolvido")),1,0)</x:f>
        <x:v>0</x:v>
      </x:c>
      <x:c r="AB132" s="194" t="n">
        <x:f>IF(Y132=0,0,IF(X132&lt;&gt;"",1,IF(Z132=0,0,IF(P132="ATRASADO",2,IF(AND(M132="ATRASADO",L132=""),3,IF(V132="ESCALAR",4,IF(V132="REVISAR BACKLOG",5,0)))))))</x:f>
        <x:v>0</x:v>
      </x:c>
      <x:c r="AC132" s="194" t="str">
        <x:f>IF(AB132=0,"",COUNTIFS($AB$5:$AB$204,"&gt;0",$AB$5:$AB$204,"&lt;"&amp;AB132)+COUNTIFS($AB$5:AB132,AB132))</x:f>
      </x:c>
      <x:c r="AD132" s="194" t="n">
        <x:f>IF(AND(A132&lt;&gt;"",X132=""),1,0)</x:f>
        <x:v>0</x:v>
      </x:c>
      <x:c r="AE132" s="194" t="n">
        <x:f>IF(AND(Y132=1,X132&lt;&gt;""),1,0)</x:f>
        <x:v>0</x:v>
      </x:c>
      <x:c r="AF132" s="194" t="n">
        <x:f>IF(L132="",1,0)</x:f>
        <x:v>1</x:v>
      </x:c>
    </x:row>
    <x:row r="133">
      <x:c r="A133" s="28"/>
      <x:c r="B133" s="41"/>
      <x:c r="C133" s="28"/>
      <x:c r="D133" s="28"/>
      <x:c r="E133" s="28"/>
      <x:c r="F133" s="28"/>
      <x:c r="G133" s="28"/>
      <x:c r="H133" s="28"/>
      <x:c r="I133" s="28"/>
      <x:c r="J133" s="28"/>
      <x:c r="K133" s="54" t="str">
        <x:f>IF(OR(A133="",X133&lt;&gt;""),"",B133+INDEX(Listas!$B$6:$B$9,MATCH(H133,Listas!$A$6:$A$9,0))/24)</x:f>
      </x:c>
      <x:c r="L133" s="41"/>
      <x:c r="M133" s="55" t="str">
        <x:f>IF(A133="","",IF(X133&lt;&gt;"","DADO PENDENTE",IF(J133="Cancelado","N.A.",IF(L133&lt;&gt;"",IF(L133&lt;=K133,"ATENDIDO","ATRASADO"),IF(OR(J133="Fechado",J133="Resolvido"),"SEM EVIDÊNCIA",IF(Listas!$B$18&gt;K133,"ATRASADO","PENDENTE"))))))</x:f>
      </x:c>
      <x:c r="N133" s="54" t="str">
        <x:f>IF(OR(A133="",X133&lt;&gt;""),"",B133+INDEX(Listas!$C$6:$C$9,MATCH(H133,Listas!$A$6:$A$9,0))/24)</x:f>
      </x:c>
      <x:c r="O133" s="41"/>
      <x:c r="P133" s="55" t="str">
        <x:f>IF(A133="","",IF(X133&lt;&gt;"","DADO PENDENTE",IF(J133="Cancelado","N.A.",IF(OR(J133="Fechado",J133="Resolvido"),IF(O133&lt;=N133,"ATENDIDO","ATRASADO"),IF(Listas!$B$18&gt;N133,"ATRASADO","PENDENTE")))))</x:f>
      </x:c>
      <x:c r="Q133" s="56" t="str">
        <x:f>IF(OR(A133="",X133&lt;&gt;"",J133="Cancelado"),"",24*IF(OR(J133="Fechado",J133="Resolvido"),O133-B133,Listas!$B$18-B133))</x:f>
      </x:c>
      <x:c r="R133" s="57" t="str">
        <x:f>IF(OR(A133="",X133&lt;&gt;"",J133="Cancelado"),"",INT(IF(OR(J133="Fechado",J133="Resolvido"),O133-B133,Listas!$B$18-B133)))</x:f>
      </x:c>
      <x:c r="S133" s="58"/>
      <x:c r="T133" s="58"/>
      <x:c r="U133" s="57" t="str">
        <x:f>IF(OR(A133="",X133&lt;&gt;"",J133="Cancelado"),"",S133*T133)</x:f>
      </x:c>
      <x:c r="V133" s="55" t="str">
        <x:f>IF(A133="","",IF(X133&lt;&gt;"","CORRIGIR DADOS",IF(J133="Cancelado","CANCELADO",IF(OR(J133="Fechado",J133="Resolvido"),"CONCLUÍDO",IF(OR(P133="ATRASADO",U133&gt;=Listas!$B$16),"ESCALAR",IF(AND(M133="ATRASADO",L133=""),"RESPONDER AGORA",IF(R133&gt;=Listas!$B$14,"REVISAR BACKLOG","ACOMPANHAR")))))))</x:f>
      </x:c>
      <x:c r="W133" s="28"/>
      <x:c r="X133" s="194" t="str">
        <x:f>IF(COUNTA(A133:J133,L133,O133,S133:T133,W133)=0,"",IF(OR(NOT(ISNUMBER(Listas!$B$14)),Listas!$B$14&lt;0,NOT(ISNUMBER(Listas!$B$16)),Listas!$B$16&lt;1,COUNT(Listas!$B$6:$C$9)&lt;&gt;8,MIN(Listas!$B$6:$C$9)&lt;=0),"Parâmetros inválidos",IF(A133="","ID ausente",IF(COUNTIFS($A$5:$A$204,A133)&lt;&gt;1,"ID duplicado",IF(OR(NOT(ISNUMBER(B133)),B133&lt;=0),"Abertura inválida",IF(OR(NOT(ISNUMBER(Listas!$B$18)),Listas!$B$18&lt;=0),"Data da análise inválida",IF(B133&gt;Listas!$B$18,"Abertura após análise",IF(COUNTIFS(Listas!$A$6:$A$9,H133)&lt;&gt;1,"Prioridade inválida",IF(COUNTIFS(Equipe!$A$5:$A$12,I133)&lt;&gt;1,"Responsável inválido",IF(COUNTIFS(Listas!$E$6:$E$11,J133)&lt;&gt;1,"Status inválido",IF(AND(L133&lt;&gt;"",OR(NOT(ISNUMBER(L133)),L133&lt;B133,L133&gt;Listas!$B$18)),"Resposta inválida",IF(AND(O133&lt;&gt;"",OR(NOT(ISNUMBER(O133)),O133&lt;B133,O133&gt;Listas!$B$18)),"Resolução inválida",IF(AND(OR(J133="Fechado",J133="Resolvido"),O133=""),"Conclusão sem resolução",IF(OR(NOT(ISNUMBER(S133)),S133&lt;1,S133&gt;5,IF(ISNUMBER(S133),S133&lt;&gt;INT(S133),FALSE),NOT(ISNUMBER(T133)),T133&lt;1,T133&gt;5,IF(ISNUMBER(T133),T133&lt;&gt;INT(T133),FALSE)),"Impacto ou urgência inválido",""))))))))))))))</x:f>
      </x:c>
      <x:c r="Y133" s="194" t="n">
        <x:f>IF(AND(COUNTA(A133:J133,L133,O133,S133:T133,W133)&gt;0,OR(Listas!$B$20="Todos",I133=Listas!$B$20)),1,0)</x:f>
        <x:v>0</x:v>
      </x:c>
      <x:c r="Z133" s="194" t="n">
        <x:f>IF(AND(Y133=1,X133="",J133&lt;&gt;"Cancelado",NOT(OR(J133="Fechado",J133="Resolvido"))),1,0)</x:f>
        <x:v>0</x:v>
      </x:c>
      <x:c r="AA133" s="194" t="n">
        <x:f>IF(AND(Y133=1,X133="",OR(J133="Fechado",J133="Resolvido")),1,0)</x:f>
        <x:v>0</x:v>
      </x:c>
      <x:c r="AB133" s="194" t="n">
        <x:f>IF(Y133=0,0,IF(X133&lt;&gt;"",1,IF(Z133=0,0,IF(P133="ATRASADO",2,IF(AND(M133="ATRASADO",L133=""),3,IF(V133="ESCALAR",4,IF(V133="REVISAR BACKLOG",5,0)))))))</x:f>
        <x:v>0</x:v>
      </x:c>
      <x:c r="AC133" s="194" t="str">
        <x:f>IF(AB133=0,"",COUNTIFS($AB$5:$AB$204,"&gt;0",$AB$5:$AB$204,"&lt;"&amp;AB133)+COUNTIFS($AB$5:AB133,AB133))</x:f>
      </x:c>
      <x:c r="AD133" s="194" t="n">
        <x:f>IF(AND(A133&lt;&gt;"",X133=""),1,0)</x:f>
        <x:v>0</x:v>
      </x:c>
      <x:c r="AE133" s="194" t="n">
        <x:f>IF(AND(Y133=1,X133&lt;&gt;""),1,0)</x:f>
        <x:v>0</x:v>
      </x:c>
      <x:c r="AF133" s="194" t="n">
        <x:f>IF(L133="",1,0)</x:f>
        <x:v>1</x:v>
      </x:c>
    </x:row>
    <x:row r="134">
      <x:c r="A134" s="28"/>
      <x:c r="B134" s="41"/>
      <x:c r="C134" s="28"/>
      <x:c r="D134" s="28"/>
      <x:c r="E134" s="28"/>
      <x:c r="F134" s="28"/>
      <x:c r="G134" s="28"/>
      <x:c r="H134" s="28"/>
      <x:c r="I134" s="28"/>
      <x:c r="J134" s="28"/>
      <x:c r="K134" s="54" t="str">
        <x:f>IF(OR(A134="",X134&lt;&gt;""),"",B134+INDEX(Listas!$B$6:$B$9,MATCH(H134,Listas!$A$6:$A$9,0))/24)</x:f>
      </x:c>
      <x:c r="L134" s="41"/>
      <x:c r="M134" s="55" t="str">
        <x:f>IF(A134="","",IF(X134&lt;&gt;"","DADO PENDENTE",IF(J134="Cancelado","N.A.",IF(L134&lt;&gt;"",IF(L134&lt;=K134,"ATENDIDO","ATRASADO"),IF(OR(J134="Fechado",J134="Resolvido"),"SEM EVIDÊNCIA",IF(Listas!$B$18&gt;K134,"ATRASADO","PENDENTE"))))))</x:f>
      </x:c>
      <x:c r="N134" s="54" t="str">
        <x:f>IF(OR(A134="",X134&lt;&gt;""),"",B134+INDEX(Listas!$C$6:$C$9,MATCH(H134,Listas!$A$6:$A$9,0))/24)</x:f>
      </x:c>
      <x:c r="O134" s="41"/>
      <x:c r="P134" s="55" t="str">
        <x:f>IF(A134="","",IF(X134&lt;&gt;"","DADO PENDENTE",IF(J134="Cancelado","N.A.",IF(OR(J134="Fechado",J134="Resolvido"),IF(O134&lt;=N134,"ATENDIDO","ATRASADO"),IF(Listas!$B$18&gt;N134,"ATRASADO","PENDENTE")))))</x:f>
      </x:c>
      <x:c r="Q134" s="56" t="str">
        <x:f>IF(OR(A134="",X134&lt;&gt;"",J134="Cancelado"),"",24*IF(OR(J134="Fechado",J134="Resolvido"),O134-B134,Listas!$B$18-B134))</x:f>
      </x:c>
      <x:c r="R134" s="57" t="str">
        <x:f>IF(OR(A134="",X134&lt;&gt;"",J134="Cancelado"),"",INT(IF(OR(J134="Fechado",J134="Resolvido"),O134-B134,Listas!$B$18-B134)))</x:f>
      </x:c>
      <x:c r="S134" s="58"/>
      <x:c r="T134" s="58"/>
      <x:c r="U134" s="57" t="str">
        <x:f>IF(OR(A134="",X134&lt;&gt;"",J134="Cancelado"),"",S134*T134)</x:f>
      </x:c>
      <x:c r="V134" s="55" t="str">
        <x:f>IF(A134="","",IF(X134&lt;&gt;"","CORRIGIR DADOS",IF(J134="Cancelado","CANCELADO",IF(OR(J134="Fechado",J134="Resolvido"),"CONCLUÍDO",IF(OR(P134="ATRASADO",U134&gt;=Listas!$B$16),"ESCALAR",IF(AND(M134="ATRASADO",L134=""),"RESPONDER AGORA",IF(R134&gt;=Listas!$B$14,"REVISAR BACKLOG","ACOMPANHAR")))))))</x:f>
      </x:c>
      <x:c r="W134" s="28"/>
      <x:c r="X134" s="194" t="str">
        <x:f>IF(COUNTA(A134:J134,L134,O134,S134:T134,W134)=0,"",IF(OR(NOT(ISNUMBER(Listas!$B$14)),Listas!$B$14&lt;0,NOT(ISNUMBER(Listas!$B$16)),Listas!$B$16&lt;1,COUNT(Listas!$B$6:$C$9)&lt;&gt;8,MIN(Listas!$B$6:$C$9)&lt;=0),"Parâmetros inválidos",IF(A134="","ID ausente",IF(COUNTIFS($A$5:$A$204,A134)&lt;&gt;1,"ID duplicado",IF(OR(NOT(ISNUMBER(B134)),B134&lt;=0),"Abertura inválida",IF(OR(NOT(ISNUMBER(Listas!$B$18)),Listas!$B$18&lt;=0),"Data da análise inválida",IF(B134&gt;Listas!$B$18,"Abertura após análise",IF(COUNTIFS(Listas!$A$6:$A$9,H134)&lt;&gt;1,"Prioridade inválida",IF(COUNTIFS(Equipe!$A$5:$A$12,I134)&lt;&gt;1,"Responsável inválido",IF(COUNTIFS(Listas!$E$6:$E$11,J134)&lt;&gt;1,"Status inválido",IF(AND(L134&lt;&gt;"",OR(NOT(ISNUMBER(L134)),L134&lt;B134,L134&gt;Listas!$B$18)),"Resposta inválida",IF(AND(O134&lt;&gt;"",OR(NOT(ISNUMBER(O134)),O134&lt;B134,O134&gt;Listas!$B$18)),"Resolução inválida",IF(AND(OR(J134="Fechado",J134="Resolvido"),O134=""),"Conclusão sem resolução",IF(OR(NOT(ISNUMBER(S134)),S134&lt;1,S134&gt;5,IF(ISNUMBER(S134),S134&lt;&gt;INT(S134),FALSE),NOT(ISNUMBER(T134)),T134&lt;1,T134&gt;5,IF(ISNUMBER(T134),T134&lt;&gt;INT(T134),FALSE)),"Impacto ou urgência inválido",""))))))))))))))</x:f>
      </x:c>
      <x:c r="Y134" s="194" t="n">
        <x:f>IF(AND(COUNTA(A134:J134,L134,O134,S134:T134,W134)&gt;0,OR(Listas!$B$20="Todos",I134=Listas!$B$20)),1,0)</x:f>
        <x:v>0</x:v>
      </x:c>
      <x:c r="Z134" s="194" t="n">
        <x:f>IF(AND(Y134=1,X134="",J134&lt;&gt;"Cancelado",NOT(OR(J134="Fechado",J134="Resolvido"))),1,0)</x:f>
        <x:v>0</x:v>
      </x:c>
      <x:c r="AA134" s="194" t="n">
        <x:f>IF(AND(Y134=1,X134="",OR(J134="Fechado",J134="Resolvido")),1,0)</x:f>
        <x:v>0</x:v>
      </x:c>
      <x:c r="AB134" s="194" t="n">
        <x:f>IF(Y134=0,0,IF(X134&lt;&gt;"",1,IF(Z134=0,0,IF(P134="ATRASADO",2,IF(AND(M134="ATRASADO",L134=""),3,IF(V134="ESCALAR",4,IF(V134="REVISAR BACKLOG",5,0)))))))</x:f>
        <x:v>0</x:v>
      </x:c>
      <x:c r="AC134" s="194" t="str">
        <x:f>IF(AB134=0,"",COUNTIFS($AB$5:$AB$204,"&gt;0",$AB$5:$AB$204,"&lt;"&amp;AB134)+COUNTIFS($AB$5:AB134,AB134))</x:f>
      </x:c>
      <x:c r="AD134" s="194" t="n">
        <x:f>IF(AND(A134&lt;&gt;"",X134=""),1,0)</x:f>
        <x:v>0</x:v>
      </x:c>
      <x:c r="AE134" s="194" t="n">
        <x:f>IF(AND(Y134=1,X134&lt;&gt;""),1,0)</x:f>
        <x:v>0</x:v>
      </x:c>
      <x:c r="AF134" s="194" t="n">
        <x:f>IF(L134="",1,0)</x:f>
        <x:v>1</x:v>
      </x:c>
    </x:row>
    <x:row r="135">
      <x:c r="A135" s="28"/>
      <x:c r="B135" s="41"/>
      <x:c r="C135" s="28"/>
      <x:c r="D135" s="28"/>
      <x:c r="E135" s="28"/>
      <x:c r="F135" s="28"/>
      <x:c r="G135" s="28"/>
      <x:c r="H135" s="28"/>
      <x:c r="I135" s="28"/>
      <x:c r="J135" s="28"/>
      <x:c r="K135" s="54" t="str">
        <x:f>IF(OR(A135="",X135&lt;&gt;""),"",B135+INDEX(Listas!$B$6:$B$9,MATCH(H135,Listas!$A$6:$A$9,0))/24)</x:f>
      </x:c>
      <x:c r="L135" s="41"/>
      <x:c r="M135" s="55" t="str">
        <x:f>IF(A135="","",IF(X135&lt;&gt;"","DADO PENDENTE",IF(J135="Cancelado","N.A.",IF(L135&lt;&gt;"",IF(L135&lt;=K135,"ATENDIDO","ATRASADO"),IF(OR(J135="Fechado",J135="Resolvido"),"SEM EVIDÊNCIA",IF(Listas!$B$18&gt;K135,"ATRASADO","PENDENTE"))))))</x:f>
      </x:c>
      <x:c r="N135" s="54" t="str">
        <x:f>IF(OR(A135="",X135&lt;&gt;""),"",B135+INDEX(Listas!$C$6:$C$9,MATCH(H135,Listas!$A$6:$A$9,0))/24)</x:f>
      </x:c>
      <x:c r="O135" s="41"/>
      <x:c r="P135" s="55" t="str">
        <x:f>IF(A135="","",IF(X135&lt;&gt;"","DADO PENDENTE",IF(J135="Cancelado","N.A.",IF(OR(J135="Fechado",J135="Resolvido"),IF(O135&lt;=N135,"ATENDIDO","ATRASADO"),IF(Listas!$B$18&gt;N135,"ATRASADO","PENDENTE")))))</x:f>
      </x:c>
      <x:c r="Q135" s="56" t="str">
        <x:f>IF(OR(A135="",X135&lt;&gt;"",J135="Cancelado"),"",24*IF(OR(J135="Fechado",J135="Resolvido"),O135-B135,Listas!$B$18-B135))</x:f>
      </x:c>
      <x:c r="R135" s="57" t="str">
        <x:f>IF(OR(A135="",X135&lt;&gt;"",J135="Cancelado"),"",INT(IF(OR(J135="Fechado",J135="Resolvido"),O135-B135,Listas!$B$18-B135)))</x:f>
      </x:c>
      <x:c r="S135" s="58"/>
      <x:c r="T135" s="58"/>
      <x:c r="U135" s="57" t="str">
        <x:f>IF(OR(A135="",X135&lt;&gt;"",J135="Cancelado"),"",S135*T135)</x:f>
      </x:c>
      <x:c r="V135" s="55" t="str">
        <x:f>IF(A135="","",IF(X135&lt;&gt;"","CORRIGIR DADOS",IF(J135="Cancelado","CANCELADO",IF(OR(J135="Fechado",J135="Resolvido"),"CONCLUÍDO",IF(OR(P135="ATRASADO",U135&gt;=Listas!$B$16),"ESCALAR",IF(AND(M135="ATRASADO",L135=""),"RESPONDER AGORA",IF(R135&gt;=Listas!$B$14,"REVISAR BACKLOG","ACOMPANHAR")))))))</x:f>
      </x:c>
      <x:c r="W135" s="28"/>
      <x:c r="X135" s="194" t="str">
        <x:f>IF(COUNTA(A135:J135,L135,O135,S135:T135,W135)=0,"",IF(OR(NOT(ISNUMBER(Listas!$B$14)),Listas!$B$14&lt;0,NOT(ISNUMBER(Listas!$B$16)),Listas!$B$16&lt;1,COUNT(Listas!$B$6:$C$9)&lt;&gt;8,MIN(Listas!$B$6:$C$9)&lt;=0),"Parâmetros inválidos",IF(A135="","ID ausente",IF(COUNTIFS($A$5:$A$204,A135)&lt;&gt;1,"ID duplicado",IF(OR(NOT(ISNUMBER(B135)),B135&lt;=0),"Abertura inválida",IF(OR(NOT(ISNUMBER(Listas!$B$18)),Listas!$B$18&lt;=0),"Data da análise inválida",IF(B135&gt;Listas!$B$18,"Abertura após análise",IF(COUNTIFS(Listas!$A$6:$A$9,H135)&lt;&gt;1,"Prioridade inválida",IF(COUNTIFS(Equipe!$A$5:$A$12,I135)&lt;&gt;1,"Responsável inválido",IF(COUNTIFS(Listas!$E$6:$E$11,J135)&lt;&gt;1,"Status inválido",IF(AND(L135&lt;&gt;"",OR(NOT(ISNUMBER(L135)),L135&lt;B135,L135&gt;Listas!$B$18)),"Resposta inválida",IF(AND(O135&lt;&gt;"",OR(NOT(ISNUMBER(O135)),O135&lt;B135,O135&gt;Listas!$B$18)),"Resolução inválida",IF(AND(OR(J135="Fechado",J135="Resolvido"),O135=""),"Conclusão sem resolução",IF(OR(NOT(ISNUMBER(S135)),S135&lt;1,S135&gt;5,IF(ISNUMBER(S135),S135&lt;&gt;INT(S135),FALSE),NOT(ISNUMBER(T135)),T135&lt;1,T135&gt;5,IF(ISNUMBER(T135),T135&lt;&gt;INT(T135),FALSE)),"Impacto ou urgência inválido",""))))))))))))))</x:f>
      </x:c>
      <x:c r="Y135" s="194" t="n">
        <x:f>IF(AND(COUNTA(A135:J135,L135,O135,S135:T135,W135)&gt;0,OR(Listas!$B$20="Todos",I135=Listas!$B$20)),1,0)</x:f>
        <x:v>0</x:v>
      </x:c>
      <x:c r="Z135" s="194" t="n">
        <x:f>IF(AND(Y135=1,X135="",J135&lt;&gt;"Cancelado",NOT(OR(J135="Fechado",J135="Resolvido"))),1,0)</x:f>
        <x:v>0</x:v>
      </x:c>
      <x:c r="AA135" s="194" t="n">
        <x:f>IF(AND(Y135=1,X135="",OR(J135="Fechado",J135="Resolvido")),1,0)</x:f>
        <x:v>0</x:v>
      </x:c>
      <x:c r="AB135" s="194" t="n">
        <x:f>IF(Y135=0,0,IF(X135&lt;&gt;"",1,IF(Z135=0,0,IF(P135="ATRASADO",2,IF(AND(M135="ATRASADO",L135=""),3,IF(V135="ESCALAR",4,IF(V135="REVISAR BACKLOG",5,0)))))))</x:f>
        <x:v>0</x:v>
      </x:c>
      <x:c r="AC135" s="194" t="str">
        <x:f>IF(AB135=0,"",COUNTIFS($AB$5:$AB$204,"&gt;0",$AB$5:$AB$204,"&lt;"&amp;AB135)+COUNTIFS($AB$5:AB135,AB135))</x:f>
      </x:c>
      <x:c r="AD135" s="194" t="n">
        <x:f>IF(AND(A135&lt;&gt;"",X135=""),1,0)</x:f>
        <x:v>0</x:v>
      </x:c>
      <x:c r="AE135" s="194" t="n">
        <x:f>IF(AND(Y135=1,X135&lt;&gt;""),1,0)</x:f>
        <x:v>0</x:v>
      </x:c>
      <x:c r="AF135" s="194" t="n">
        <x:f>IF(L135="",1,0)</x:f>
        <x:v>1</x:v>
      </x:c>
    </x:row>
    <x:row r="136">
      <x:c r="A136" s="28"/>
      <x:c r="B136" s="41"/>
      <x:c r="C136" s="28"/>
      <x:c r="D136" s="28"/>
      <x:c r="E136" s="28"/>
      <x:c r="F136" s="28"/>
      <x:c r="G136" s="28"/>
      <x:c r="H136" s="28"/>
      <x:c r="I136" s="28"/>
      <x:c r="J136" s="28"/>
      <x:c r="K136" s="54" t="str">
        <x:f>IF(OR(A136="",X136&lt;&gt;""),"",B136+INDEX(Listas!$B$6:$B$9,MATCH(H136,Listas!$A$6:$A$9,0))/24)</x:f>
      </x:c>
      <x:c r="L136" s="41"/>
      <x:c r="M136" s="55" t="str">
        <x:f>IF(A136="","",IF(X136&lt;&gt;"","DADO PENDENTE",IF(J136="Cancelado","N.A.",IF(L136&lt;&gt;"",IF(L136&lt;=K136,"ATENDIDO","ATRASADO"),IF(OR(J136="Fechado",J136="Resolvido"),"SEM EVIDÊNCIA",IF(Listas!$B$18&gt;K136,"ATRASADO","PENDENTE"))))))</x:f>
      </x:c>
      <x:c r="N136" s="54" t="str">
        <x:f>IF(OR(A136="",X136&lt;&gt;""),"",B136+INDEX(Listas!$C$6:$C$9,MATCH(H136,Listas!$A$6:$A$9,0))/24)</x:f>
      </x:c>
      <x:c r="O136" s="41"/>
      <x:c r="P136" s="55" t="str">
        <x:f>IF(A136="","",IF(X136&lt;&gt;"","DADO PENDENTE",IF(J136="Cancelado","N.A.",IF(OR(J136="Fechado",J136="Resolvido"),IF(O136&lt;=N136,"ATENDIDO","ATRASADO"),IF(Listas!$B$18&gt;N136,"ATRASADO","PENDENTE")))))</x:f>
      </x:c>
      <x:c r="Q136" s="56" t="str">
        <x:f>IF(OR(A136="",X136&lt;&gt;"",J136="Cancelado"),"",24*IF(OR(J136="Fechado",J136="Resolvido"),O136-B136,Listas!$B$18-B136))</x:f>
      </x:c>
      <x:c r="R136" s="57" t="str">
        <x:f>IF(OR(A136="",X136&lt;&gt;"",J136="Cancelado"),"",INT(IF(OR(J136="Fechado",J136="Resolvido"),O136-B136,Listas!$B$18-B136)))</x:f>
      </x:c>
      <x:c r="S136" s="58"/>
      <x:c r="T136" s="58"/>
      <x:c r="U136" s="57" t="str">
        <x:f>IF(OR(A136="",X136&lt;&gt;"",J136="Cancelado"),"",S136*T136)</x:f>
      </x:c>
      <x:c r="V136" s="55" t="str">
        <x:f>IF(A136="","",IF(X136&lt;&gt;"","CORRIGIR DADOS",IF(J136="Cancelado","CANCELADO",IF(OR(J136="Fechado",J136="Resolvido"),"CONCLUÍDO",IF(OR(P136="ATRASADO",U136&gt;=Listas!$B$16),"ESCALAR",IF(AND(M136="ATRASADO",L136=""),"RESPONDER AGORA",IF(R136&gt;=Listas!$B$14,"REVISAR BACKLOG","ACOMPANHAR")))))))</x:f>
      </x:c>
      <x:c r="W136" s="28"/>
      <x:c r="X136" s="194" t="str">
        <x:f>IF(COUNTA(A136:J136,L136,O136,S136:T136,W136)=0,"",IF(OR(NOT(ISNUMBER(Listas!$B$14)),Listas!$B$14&lt;0,NOT(ISNUMBER(Listas!$B$16)),Listas!$B$16&lt;1,COUNT(Listas!$B$6:$C$9)&lt;&gt;8,MIN(Listas!$B$6:$C$9)&lt;=0),"Parâmetros inválidos",IF(A136="","ID ausente",IF(COUNTIFS($A$5:$A$204,A136)&lt;&gt;1,"ID duplicado",IF(OR(NOT(ISNUMBER(B136)),B136&lt;=0),"Abertura inválida",IF(OR(NOT(ISNUMBER(Listas!$B$18)),Listas!$B$18&lt;=0),"Data da análise inválida",IF(B136&gt;Listas!$B$18,"Abertura após análise",IF(COUNTIFS(Listas!$A$6:$A$9,H136)&lt;&gt;1,"Prioridade inválida",IF(COUNTIFS(Equipe!$A$5:$A$12,I136)&lt;&gt;1,"Responsável inválido",IF(COUNTIFS(Listas!$E$6:$E$11,J136)&lt;&gt;1,"Status inválido",IF(AND(L136&lt;&gt;"",OR(NOT(ISNUMBER(L136)),L136&lt;B136,L136&gt;Listas!$B$18)),"Resposta inválida",IF(AND(O136&lt;&gt;"",OR(NOT(ISNUMBER(O136)),O136&lt;B136,O136&gt;Listas!$B$18)),"Resolução inválida",IF(AND(OR(J136="Fechado",J136="Resolvido"),O136=""),"Conclusão sem resolução",IF(OR(NOT(ISNUMBER(S136)),S136&lt;1,S136&gt;5,IF(ISNUMBER(S136),S136&lt;&gt;INT(S136),FALSE),NOT(ISNUMBER(T136)),T136&lt;1,T136&gt;5,IF(ISNUMBER(T136),T136&lt;&gt;INT(T136),FALSE)),"Impacto ou urgência inválido",""))))))))))))))</x:f>
      </x:c>
      <x:c r="Y136" s="194" t="n">
        <x:f>IF(AND(COUNTA(A136:J136,L136,O136,S136:T136,W136)&gt;0,OR(Listas!$B$20="Todos",I136=Listas!$B$20)),1,0)</x:f>
        <x:v>0</x:v>
      </x:c>
      <x:c r="Z136" s="194" t="n">
        <x:f>IF(AND(Y136=1,X136="",J136&lt;&gt;"Cancelado",NOT(OR(J136="Fechado",J136="Resolvido"))),1,0)</x:f>
        <x:v>0</x:v>
      </x:c>
      <x:c r="AA136" s="194" t="n">
        <x:f>IF(AND(Y136=1,X136="",OR(J136="Fechado",J136="Resolvido")),1,0)</x:f>
        <x:v>0</x:v>
      </x:c>
      <x:c r="AB136" s="194" t="n">
        <x:f>IF(Y136=0,0,IF(X136&lt;&gt;"",1,IF(Z136=0,0,IF(P136="ATRASADO",2,IF(AND(M136="ATRASADO",L136=""),3,IF(V136="ESCALAR",4,IF(V136="REVISAR BACKLOG",5,0)))))))</x:f>
        <x:v>0</x:v>
      </x:c>
      <x:c r="AC136" s="194" t="str">
        <x:f>IF(AB136=0,"",COUNTIFS($AB$5:$AB$204,"&gt;0",$AB$5:$AB$204,"&lt;"&amp;AB136)+COUNTIFS($AB$5:AB136,AB136))</x:f>
      </x:c>
      <x:c r="AD136" s="194" t="n">
        <x:f>IF(AND(A136&lt;&gt;"",X136=""),1,0)</x:f>
        <x:v>0</x:v>
      </x:c>
      <x:c r="AE136" s="194" t="n">
        <x:f>IF(AND(Y136=1,X136&lt;&gt;""),1,0)</x:f>
        <x:v>0</x:v>
      </x:c>
      <x:c r="AF136" s="194" t="n">
        <x:f>IF(L136="",1,0)</x:f>
        <x:v>1</x:v>
      </x:c>
    </x:row>
    <x:row r="137">
      <x:c r="A137" s="28"/>
      <x:c r="B137" s="41"/>
      <x:c r="C137" s="28"/>
      <x:c r="D137" s="28"/>
      <x:c r="E137" s="28"/>
      <x:c r="F137" s="28"/>
      <x:c r="G137" s="28"/>
      <x:c r="H137" s="28"/>
      <x:c r="I137" s="28"/>
      <x:c r="J137" s="28"/>
      <x:c r="K137" s="54" t="str">
        <x:f>IF(OR(A137="",X137&lt;&gt;""),"",B137+INDEX(Listas!$B$6:$B$9,MATCH(H137,Listas!$A$6:$A$9,0))/24)</x:f>
      </x:c>
      <x:c r="L137" s="41"/>
      <x:c r="M137" s="55" t="str">
        <x:f>IF(A137="","",IF(X137&lt;&gt;"","DADO PENDENTE",IF(J137="Cancelado","N.A.",IF(L137&lt;&gt;"",IF(L137&lt;=K137,"ATENDIDO","ATRASADO"),IF(OR(J137="Fechado",J137="Resolvido"),"SEM EVIDÊNCIA",IF(Listas!$B$18&gt;K137,"ATRASADO","PENDENTE"))))))</x:f>
      </x:c>
      <x:c r="N137" s="54" t="str">
        <x:f>IF(OR(A137="",X137&lt;&gt;""),"",B137+INDEX(Listas!$C$6:$C$9,MATCH(H137,Listas!$A$6:$A$9,0))/24)</x:f>
      </x:c>
      <x:c r="O137" s="41"/>
      <x:c r="P137" s="55" t="str">
        <x:f>IF(A137="","",IF(X137&lt;&gt;"","DADO PENDENTE",IF(J137="Cancelado","N.A.",IF(OR(J137="Fechado",J137="Resolvido"),IF(O137&lt;=N137,"ATENDIDO","ATRASADO"),IF(Listas!$B$18&gt;N137,"ATRASADO","PENDENTE")))))</x:f>
      </x:c>
      <x:c r="Q137" s="56" t="str">
        <x:f>IF(OR(A137="",X137&lt;&gt;"",J137="Cancelado"),"",24*IF(OR(J137="Fechado",J137="Resolvido"),O137-B137,Listas!$B$18-B137))</x:f>
      </x:c>
      <x:c r="R137" s="57" t="str">
        <x:f>IF(OR(A137="",X137&lt;&gt;"",J137="Cancelado"),"",INT(IF(OR(J137="Fechado",J137="Resolvido"),O137-B137,Listas!$B$18-B137)))</x:f>
      </x:c>
      <x:c r="S137" s="58"/>
      <x:c r="T137" s="58"/>
      <x:c r="U137" s="57" t="str">
        <x:f>IF(OR(A137="",X137&lt;&gt;"",J137="Cancelado"),"",S137*T137)</x:f>
      </x:c>
      <x:c r="V137" s="55" t="str">
        <x:f>IF(A137="","",IF(X137&lt;&gt;"","CORRIGIR DADOS",IF(J137="Cancelado","CANCELADO",IF(OR(J137="Fechado",J137="Resolvido"),"CONCLUÍDO",IF(OR(P137="ATRASADO",U137&gt;=Listas!$B$16),"ESCALAR",IF(AND(M137="ATRASADO",L137=""),"RESPONDER AGORA",IF(R137&gt;=Listas!$B$14,"REVISAR BACKLOG","ACOMPANHAR")))))))</x:f>
      </x:c>
      <x:c r="W137" s="28"/>
      <x:c r="X137" s="194" t="str">
        <x:f>IF(COUNTA(A137:J137,L137,O137,S137:T137,W137)=0,"",IF(OR(NOT(ISNUMBER(Listas!$B$14)),Listas!$B$14&lt;0,NOT(ISNUMBER(Listas!$B$16)),Listas!$B$16&lt;1,COUNT(Listas!$B$6:$C$9)&lt;&gt;8,MIN(Listas!$B$6:$C$9)&lt;=0),"Parâmetros inválidos",IF(A137="","ID ausente",IF(COUNTIFS($A$5:$A$204,A137)&lt;&gt;1,"ID duplicado",IF(OR(NOT(ISNUMBER(B137)),B137&lt;=0),"Abertura inválida",IF(OR(NOT(ISNUMBER(Listas!$B$18)),Listas!$B$18&lt;=0),"Data da análise inválida",IF(B137&gt;Listas!$B$18,"Abertura após análise",IF(COUNTIFS(Listas!$A$6:$A$9,H137)&lt;&gt;1,"Prioridade inválida",IF(COUNTIFS(Equipe!$A$5:$A$12,I137)&lt;&gt;1,"Responsável inválido",IF(COUNTIFS(Listas!$E$6:$E$11,J137)&lt;&gt;1,"Status inválido",IF(AND(L137&lt;&gt;"",OR(NOT(ISNUMBER(L137)),L137&lt;B137,L137&gt;Listas!$B$18)),"Resposta inválida",IF(AND(O137&lt;&gt;"",OR(NOT(ISNUMBER(O137)),O137&lt;B137,O137&gt;Listas!$B$18)),"Resolução inválida",IF(AND(OR(J137="Fechado",J137="Resolvido"),O137=""),"Conclusão sem resolução",IF(OR(NOT(ISNUMBER(S137)),S137&lt;1,S137&gt;5,IF(ISNUMBER(S137),S137&lt;&gt;INT(S137),FALSE),NOT(ISNUMBER(T137)),T137&lt;1,T137&gt;5,IF(ISNUMBER(T137),T137&lt;&gt;INT(T137),FALSE)),"Impacto ou urgência inválido",""))))))))))))))</x:f>
      </x:c>
      <x:c r="Y137" s="194" t="n">
        <x:f>IF(AND(COUNTA(A137:J137,L137,O137,S137:T137,W137)&gt;0,OR(Listas!$B$20="Todos",I137=Listas!$B$20)),1,0)</x:f>
        <x:v>0</x:v>
      </x:c>
      <x:c r="Z137" s="194" t="n">
        <x:f>IF(AND(Y137=1,X137="",J137&lt;&gt;"Cancelado",NOT(OR(J137="Fechado",J137="Resolvido"))),1,0)</x:f>
        <x:v>0</x:v>
      </x:c>
      <x:c r="AA137" s="194" t="n">
        <x:f>IF(AND(Y137=1,X137="",OR(J137="Fechado",J137="Resolvido")),1,0)</x:f>
        <x:v>0</x:v>
      </x:c>
      <x:c r="AB137" s="194" t="n">
        <x:f>IF(Y137=0,0,IF(X137&lt;&gt;"",1,IF(Z137=0,0,IF(P137="ATRASADO",2,IF(AND(M137="ATRASADO",L137=""),3,IF(V137="ESCALAR",4,IF(V137="REVISAR BACKLOG",5,0)))))))</x:f>
        <x:v>0</x:v>
      </x:c>
      <x:c r="AC137" s="194" t="str">
        <x:f>IF(AB137=0,"",COUNTIFS($AB$5:$AB$204,"&gt;0",$AB$5:$AB$204,"&lt;"&amp;AB137)+COUNTIFS($AB$5:AB137,AB137))</x:f>
      </x:c>
      <x:c r="AD137" s="194" t="n">
        <x:f>IF(AND(A137&lt;&gt;"",X137=""),1,0)</x:f>
        <x:v>0</x:v>
      </x:c>
      <x:c r="AE137" s="194" t="n">
        <x:f>IF(AND(Y137=1,X137&lt;&gt;""),1,0)</x:f>
        <x:v>0</x:v>
      </x:c>
      <x:c r="AF137" s="194" t="n">
        <x:f>IF(L137="",1,0)</x:f>
        <x:v>1</x:v>
      </x:c>
    </x:row>
    <x:row r="138">
      <x:c r="A138" s="28"/>
      <x:c r="B138" s="41"/>
      <x:c r="C138" s="28"/>
      <x:c r="D138" s="28"/>
      <x:c r="E138" s="28"/>
      <x:c r="F138" s="28"/>
      <x:c r="G138" s="28"/>
      <x:c r="H138" s="28"/>
      <x:c r="I138" s="28"/>
      <x:c r="J138" s="28"/>
      <x:c r="K138" s="54" t="str">
        <x:f>IF(OR(A138="",X138&lt;&gt;""),"",B138+INDEX(Listas!$B$6:$B$9,MATCH(H138,Listas!$A$6:$A$9,0))/24)</x:f>
      </x:c>
      <x:c r="L138" s="41"/>
      <x:c r="M138" s="55" t="str">
        <x:f>IF(A138="","",IF(X138&lt;&gt;"","DADO PENDENTE",IF(J138="Cancelado","N.A.",IF(L138&lt;&gt;"",IF(L138&lt;=K138,"ATENDIDO","ATRASADO"),IF(OR(J138="Fechado",J138="Resolvido"),"SEM EVIDÊNCIA",IF(Listas!$B$18&gt;K138,"ATRASADO","PENDENTE"))))))</x:f>
      </x:c>
      <x:c r="N138" s="54" t="str">
        <x:f>IF(OR(A138="",X138&lt;&gt;""),"",B138+INDEX(Listas!$C$6:$C$9,MATCH(H138,Listas!$A$6:$A$9,0))/24)</x:f>
      </x:c>
      <x:c r="O138" s="41"/>
      <x:c r="P138" s="55" t="str">
        <x:f>IF(A138="","",IF(X138&lt;&gt;"","DADO PENDENTE",IF(J138="Cancelado","N.A.",IF(OR(J138="Fechado",J138="Resolvido"),IF(O138&lt;=N138,"ATENDIDO","ATRASADO"),IF(Listas!$B$18&gt;N138,"ATRASADO","PENDENTE")))))</x:f>
      </x:c>
      <x:c r="Q138" s="56" t="str">
        <x:f>IF(OR(A138="",X138&lt;&gt;"",J138="Cancelado"),"",24*IF(OR(J138="Fechado",J138="Resolvido"),O138-B138,Listas!$B$18-B138))</x:f>
      </x:c>
      <x:c r="R138" s="57" t="str">
        <x:f>IF(OR(A138="",X138&lt;&gt;"",J138="Cancelado"),"",INT(IF(OR(J138="Fechado",J138="Resolvido"),O138-B138,Listas!$B$18-B138)))</x:f>
      </x:c>
      <x:c r="S138" s="58"/>
      <x:c r="T138" s="58"/>
      <x:c r="U138" s="57" t="str">
        <x:f>IF(OR(A138="",X138&lt;&gt;"",J138="Cancelado"),"",S138*T138)</x:f>
      </x:c>
      <x:c r="V138" s="55" t="str">
        <x:f>IF(A138="","",IF(X138&lt;&gt;"","CORRIGIR DADOS",IF(J138="Cancelado","CANCELADO",IF(OR(J138="Fechado",J138="Resolvido"),"CONCLUÍDO",IF(OR(P138="ATRASADO",U138&gt;=Listas!$B$16),"ESCALAR",IF(AND(M138="ATRASADO",L138=""),"RESPONDER AGORA",IF(R138&gt;=Listas!$B$14,"REVISAR BACKLOG","ACOMPANHAR")))))))</x:f>
      </x:c>
      <x:c r="W138" s="28"/>
      <x:c r="X138" s="194" t="str">
        <x:f>IF(COUNTA(A138:J138,L138,O138,S138:T138,W138)=0,"",IF(OR(NOT(ISNUMBER(Listas!$B$14)),Listas!$B$14&lt;0,NOT(ISNUMBER(Listas!$B$16)),Listas!$B$16&lt;1,COUNT(Listas!$B$6:$C$9)&lt;&gt;8,MIN(Listas!$B$6:$C$9)&lt;=0),"Parâmetros inválidos",IF(A138="","ID ausente",IF(COUNTIFS($A$5:$A$204,A138)&lt;&gt;1,"ID duplicado",IF(OR(NOT(ISNUMBER(B138)),B138&lt;=0),"Abertura inválida",IF(OR(NOT(ISNUMBER(Listas!$B$18)),Listas!$B$18&lt;=0),"Data da análise inválida",IF(B138&gt;Listas!$B$18,"Abertura após análise",IF(COUNTIFS(Listas!$A$6:$A$9,H138)&lt;&gt;1,"Prioridade inválida",IF(COUNTIFS(Equipe!$A$5:$A$12,I138)&lt;&gt;1,"Responsável inválido",IF(COUNTIFS(Listas!$E$6:$E$11,J138)&lt;&gt;1,"Status inválido",IF(AND(L138&lt;&gt;"",OR(NOT(ISNUMBER(L138)),L138&lt;B138,L138&gt;Listas!$B$18)),"Resposta inválida",IF(AND(O138&lt;&gt;"",OR(NOT(ISNUMBER(O138)),O138&lt;B138,O138&gt;Listas!$B$18)),"Resolução inválida",IF(AND(OR(J138="Fechado",J138="Resolvido"),O138=""),"Conclusão sem resolução",IF(OR(NOT(ISNUMBER(S138)),S138&lt;1,S138&gt;5,IF(ISNUMBER(S138),S138&lt;&gt;INT(S138),FALSE),NOT(ISNUMBER(T138)),T138&lt;1,T138&gt;5,IF(ISNUMBER(T138),T138&lt;&gt;INT(T138),FALSE)),"Impacto ou urgência inválido",""))))))))))))))</x:f>
      </x:c>
      <x:c r="Y138" s="194" t="n">
        <x:f>IF(AND(COUNTA(A138:J138,L138,O138,S138:T138,W138)&gt;0,OR(Listas!$B$20="Todos",I138=Listas!$B$20)),1,0)</x:f>
        <x:v>0</x:v>
      </x:c>
      <x:c r="Z138" s="194" t="n">
        <x:f>IF(AND(Y138=1,X138="",J138&lt;&gt;"Cancelado",NOT(OR(J138="Fechado",J138="Resolvido"))),1,0)</x:f>
        <x:v>0</x:v>
      </x:c>
      <x:c r="AA138" s="194" t="n">
        <x:f>IF(AND(Y138=1,X138="",OR(J138="Fechado",J138="Resolvido")),1,0)</x:f>
        <x:v>0</x:v>
      </x:c>
      <x:c r="AB138" s="194" t="n">
        <x:f>IF(Y138=0,0,IF(X138&lt;&gt;"",1,IF(Z138=0,0,IF(P138="ATRASADO",2,IF(AND(M138="ATRASADO",L138=""),3,IF(V138="ESCALAR",4,IF(V138="REVISAR BACKLOG",5,0)))))))</x:f>
        <x:v>0</x:v>
      </x:c>
      <x:c r="AC138" s="194" t="str">
        <x:f>IF(AB138=0,"",COUNTIFS($AB$5:$AB$204,"&gt;0",$AB$5:$AB$204,"&lt;"&amp;AB138)+COUNTIFS($AB$5:AB138,AB138))</x:f>
      </x:c>
      <x:c r="AD138" s="194" t="n">
        <x:f>IF(AND(A138&lt;&gt;"",X138=""),1,0)</x:f>
        <x:v>0</x:v>
      </x:c>
      <x:c r="AE138" s="194" t="n">
        <x:f>IF(AND(Y138=1,X138&lt;&gt;""),1,0)</x:f>
        <x:v>0</x:v>
      </x:c>
      <x:c r="AF138" s="194" t="n">
        <x:f>IF(L138="",1,0)</x:f>
        <x:v>1</x:v>
      </x:c>
    </x:row>
    <x:row r="139">
      <x:c r="A139" s="28"/>
      <x:c r="B139" s="41"/>
      <x:c r="C139" s="28"/>
      <x:c r="D139" s="28"/>
      <x:c r="E139" s="28"/>
      <x:c r="F139" s="28"/>
      <x:c r="G139" s="28"/>
      <x:c r="H139" s="28"/>
      <x:c r="I139" s="28"/>
      <x:c r="J139" s="28"/>
      <x:c r="K139" s="54" t="str">
        <x:f>IF(OR(A139="",X139&lt;&gt;""),"",B139+INDEX(Listas!$B$6:$B$9,MATCH(H139,Listas!$A$6:$A$9,0))/24)</x:f>
      </x:c>
      <x:c r="L139" s="41"/>
      <x:c r="M139" s="55" t="str">
        <x:f>IF(A139="","",IF(X139&lt;&gt;"","DADO PENDENTE",IF(J139="Cancelado","N.A.",IF(L139&lt;&gt;"",IF(L139&lt;=K139,"ATENDIDO","ATRASADO"),IF(OR(J139="Fechado",J139="Resolvido"),"SEM EVIDÊNCIA",IF(Listas!$B$18&gt;K139,"ATRASADO","PENDENTE"))))))</x:f>
      </x:c>
      <x:c r="N139" s="54" t="str">
        <x:f>IF(OR(A139="",X139&lt;&gt;""),"",B139+INDEX(Listas!$C$6:$C$9,MATCH(H139,Listas!$A$6:$A$9,0))/24)</x:f>
      </x:c>
      <x:c r="O139" s="41"/>
      <x:c r="P139" s="55" t="str">
        <x:f>IF(A139="","",IF(X139&lt;&gt;"","DADO PENDENTE",IF(J139="Cancelado","N.A.",IF(OR(J139="Fechado",J139="Resolvido"),IF(O139&lt;=N139,"ATENDIDO","ATRASADO"),IF(Listas!$B$18&gt;N139,"ATRASADO","PENDENTE")))))</x:f>
      </x:c>
      <x:c r="Q139" s="56" t="str">
        <x:f>IF(OR(A139="",X139&lt;&gt;"",J139="Cancelado"),"",24*IF(OR(J139="Fechado",J139="Resolvido"),O139-B139,Listas!$B$18-B139))</x:f>
      </x:c>
      <x:c r="R139" s="57" t="str">
        <x:f>IF(OR(A139="",X139&lt;&gt;"",J139="Cancelado"),"",INT(IF(OR(J139="Fechado",J139="Resolvido"),O139-B139,Listas!$B$18-B139)))</x:f>
      </x:c>
      <x:c r="S139" s="58"/>
      <x:c r="T139" s="58"/>
      <x:c r="U139" s="57" t="str">
        <x:f>IF(OR(A139="",X139&lt;&gt;"",J139="Cancelado"),"",S139*T139)</x:f>
      </x:c>
      <x:c r="V139" s="55" t="str">
        <x:f>IF(A139="","",IF(X139&lt;&gt;"","CORRIGIR DADOS",IF(J139="Cancelado","CANCELADO",IF(OR(J139="Fechado",J139="Resolvido"),"CONCLUÍDO",IF(OR(P139="ATRASADO",U139&gt;=Listas!$B$16),"ESCALAR",IF(AND(M139="ATRASADO",L139=""),"RESPONDER AGORA",IF(R139&gt;=Listas!$B$14,"REVISAR BACKLOG","ACOMPANHAR")))))))</x:f>
      </x:c>
      <x:c r="W139" s="28"/>
      <x:c r="X139" s="194" t="str">
        <x:f>IF(COUNTA(A139:J139,L139,O139,S139:T139,W139)=0,"",IF(OR(NOT(ISNUMBER(Listas!$B$14)),Listas!$B$14&lt;0,NOT(ISNUMBER(Listas!$B$16)),Listas!$B$16&lt;1,COUNT(Listas!$B$6:$C$9)&lt;&gt;8,MIN(Listas!$B$6:$C$9)&lt;=0),"Parâmetros inválidos",IF(A139="","ID ausente",IF(COUNTIFS($A$5:$A$204,A139)&lt;&gt;1,"ID duplicado",IF(OR(NOT(ISNUMBER(B139)),B139&lt;=0),"Abertura inválida",IF(OR(NOT(ISNUMBER(Listas!$B$18)),Listas!$B$18&lt;=0),"Data da análise inválida",IF(B139&gt;Listas!$B$18,"Abertura após análise",IF(COUNTIFS(Listas!$A$6:$A$9,H139)&lt;&gt;1,"Prioridade inválida",IF(COUNTIFS(Equipe!$A$5:$A$12,I139)&lt;&gt;1,"Responsável inválido",IF(COUNTIFS(Listas!$E$6:$E$11,J139)&lt;&gt;1,"Status inválido",IF(AND(L139&lt;&gt;"",OR(NOT(ISNUMBER(L139)),L139&lt;B139,L139&gt;Listas!$B$18)),"Resposta inválida",IF(AND(O139&lt;&gt;"",OR(NOT(ISNUMBER(O139)),O139&lt;B139,O139&gt;Listas!$B$18)),"Resolução inválida",IF(AND(OR(J139="Fechado",J139="Resolvido"),O139=""),"Conclusão sem resolução",IF(OR(NOT(ISNUMBER(S139)),S139&lt;1,S139&gt;5,IF(ISNUMBER(S139),S139&lt;&gt;INT(S139),FALSE),NOT(ISNUMBER(T139)),T139&lt;1,T139&gt;5,IF(ISNUMBER(T139),T139&lt;&gt;INT(T139),FALSE)),"Impacto ou urgência inválido",""))))))))))))))</x:f>
      </x:c>
      <x:c r="Y139" s="194" t="n">
        <x:f>IF(AND(COUNTA(A139:J139,L139,O139,S139:T139,W139)&gt;0,OR(Listas!$B$20="Todos",I139=Listas!$B$20)),1,0)</x:f>
        <x:v>0</x:v>
      </x:c>
      <x:c r="Z139" s="194" t="n">
        <x:f>IF(AND(Y139=1,X139="",J139&lt;&gt;"Cancelado",NOT(OR(J139="Fechado",J139="Resolvido"))),1,0)</x:f>
        <x:v>0</x:v>
      </x:c>
      <x:c r="AA139" s="194" t="n">
        <x:f>IF(AND(Y139=1,X139="",OR(J139="Fechado",J139="Resolvido")),1,0)</x:f>
        <x:v>0</x:v>
      </x:c>
      <x:c r="AB139" s="194" t="n">
        <x:f>IF(Y139=0,0,IF(X139&lt;&gt;"",1,IF(Z139=0,0,IF(P139="ATRASADO",2,IF(AND(M139="ATRASADO",L139=""),3,IF(V139="ESCALAR",4,IF(V139="REVISAR BACKLOG",5,0)))))))</x:f>
        <x:v>0</x:v>
      </x:c>
      <x:c r="AC139" s="194" t="str">
        <x:f>IF(AB139=0,"",COUNTIFS($AB$5:$AB$204,"&gt;0",$AB$5:$AB$204,"&lt;"&amp;AB139)+COUNTIFS($AB$5:AB139,AB139))</x:f>
      </x:c>
      <x:c r="AD139" s="194" t="n">
        <x:f>IF(AND(A139&lt;&gt;"",X139=""),1,0)</x:f>
        <x:v>0</x:v>
      </x:c>
      <x:c r="AE139" s="194" t="n">
        <x:f>IF(AND(Y139=1,X139&lt;&gt;""),1,0)</x:f>
        <x:v>0</x:v>
      </x:c>
      <x:c r="AF139" s="194" t="n">
        <x:f>IF(L139="",1,0)</x:f>
        <x:v>1</x:v>
      </x:c>
    </x:row>
    <x:row r="140">
      <x:c r="A140" s="28"/>
      <x:c r="B140" s="41"/>
      <x:c r="C140" s="28"/>
      <x:c r="D140" s="28"/>
      <x:c r="E140" s="28"/>
      <x:c r="F140" s="28"/>
      <x:c r="G140" s="28"/>
      <x:c r="H140" s="28"/>
      <x:c r="I140" s="28"/>
      <x:c r="J140" s="28"/>
      <x:c r="K140" s="54" t="str">
        <x:f>IF(OR(A140="",X140&lt;&gt;""),"",B140+INDEX(Listas!$B$6:$B$9,MATCH(H140,Listas!$A$6:$A$9,0))/24)</x:f>
      </x:c>
      <x:c r="L140" s="41"/>
      <x:c r="M140" s="55" t="str">
        <x:f>IF(A140="","",IF(X140&lt;&gt;"","DADO PENDENTE",IF(J140="Cancelado","N.A.",IF(L140&lt;&gt;"",IF(L140&lt;=K140,"ATENDIDO","ATRASADO"),IF(OR(J140="Fechado",J140="Resolvido"),"SEM EVIDÊNCIA",IF(Listas!$B$18&gt;K140,"ATRASADO","PENDENTE"))))))</x:f>
      </x:c>
      <x:c r="N140" s="54" t="str">
        <x:f>IF(OR(A140="",X140&lt;&gt;""),"",B140+INDEX(Listas!$C$6:$C$9,MATCH(H140,Listas!$A$6:$A$9,0))/24)</x:f>
      </x:c>
      <x:c r="O140" s="41"/>
      <x:c r="P140" s="55" t="str">
        <x:f>IF(A140="","",IF(X140&lt;&gt;"","DADO PENDENTE",IF(J140="Cancelado","N.A.",IF(OR(J140="Fechado",J140="Resolvido"),IF(O140&lt;=N140,"ATENDIDO","ATRASADO"),IF(Listas!$B$18&gt;N140,"ATRASADO","PENDENTE")))))</x:f>
      </x:c>
      <x:c r="Q140" s="56" t="str">
        <x:f>IF(OR(A140="",X140&lt;&gt;"",J140="Cancelado"),"",24*IF(OR(J140="Fechado",J140="Resolvido"),O140-B140,Listas!$B$18-B140))</x:f>
      </x:c>
      <x:c r="R140" s="57" t="str">
        <x:f>IF(OR(A140="",X140&lt;&gt;"",J140="Cancelado"),"",INT(IF(OR(J140="Fechado",J140="Resolvido"),O140-B140,Listas!$B$18-B140)))</x:f>
      </x:c>
      <x:c r="S140" s="58"/>
      <x:c r="T140" s="58"/>
      <x:c r="U140" s="57" t="str">
        <x:f>IF(OR(A140="",X140&lt;&gt;"",J140="Cancelado"),"",S140*T140)</x:f>
      </x:c>
      <x:c r="V140" s="55" t="str">
        <x:f>IF(A140="","",IF(X140&lt;&gt;"","CORRIGIR DADOS",IF(J140="Cancelado","CANCELADO",IF(OR(J140="Fechado",J140="Resolvido"),"CONCLUÍDO",IF(OR(P140="ATRASADO",U140&gt;=Listas!$B$16),"ESCALAR",IF(AND(M140="ATRASADO",L140=""),"RESPONDER AGORA",IF(R140&gt;=Listas!$B$14,"REVISAR BACKLOG","ACOMPANHAR")))))))</x:f>
      </x:c>
      <x:c r="W140" s="28"/>
      <x:c r="X140" s="194" t="str">
        <x:f>IF(COUNTA(A140:J140,L140,O140,S140:T140,W140)=0,"",IF(OR(NOT(ISNUMBER(Listas!$B$14)),Listas!$B$14&lt;0,NOT(ISNUMBER(Listas!$B$16)),Listas!$B$16&lt;1,COUNT(Listas!$B$6:$C$9)&lt;&gt;8,MIN(Listas!$B$6:$C$9)&lt;=0),"Parâmetros inválidos",IF(A140="","ID ausente",IF(COUNTIFS($A$5:$A$204,A140)&lt;&gt;1,"ID duplicado",IF(OR(NOT(ISNUMBER(B140)),B140&lt;=0),"Abertura inválida",IF(OR(NOT(ISNUMBER(Listas!$B$18)),Listas!$B$18&lt;=0),"Data da análise inválida",IF(B140&gt;Listas!$B$18,"Abertura após análise",IF(COUNTIFS(Listas!$A$6:$A$9,H140)&lt;&gt;1,"Prioridade inválida",IF(COUNTIFS(Equipe!$A$5:$A$12,I140)&lt;&gt;1,"Responsável inválido",IF(COUNTIFS(Listas!$E$6:$E$11,J140)&lt;&gt;1,"Status inválido",IF(AND(L140&lt;&gt;"",OR(NOT(ISNUMBER(L140)),L140&lt;B140,L140&gt;Listas!$B$18)),"Resposta inválida",IF(AND(O140&lt;&gt;"",OR(NOT(ISNUMBER(O140)),O140&lt;B140,O140&gt;Listas!$B$18)),"Resolução inválida",IF(AND(OR(J140="Fechado",J140="Resolvido"),O140=""),"Conclusão sem resolução",IF(OR(NOT(ISNUMBER(S140)),S140&lt;1,S140&gt;5,IF(ISNUMBER(S140),S140&lt;&gt;INT(S140),FALSE),NOT(ISNUMBER(T140)),T140&lt;1,T140&gt;5,IF(ISNUMBER(T140),T140&lt;&gt;INT(T140),FALSE)),"Impacto ou urgência inválido",""))))))))))))))</x:f>
      </x:c>
      <x:c r="Y140" s="194" t="n">
        <x:f>IF(AND(COUNTA(A140:J140,L140,O140,S140:T140,W140)&gt;0,OR(Listas!$B$20="Todos",I140=Listas!$B$20)),1,0)</x:f>
        <x:v>0</x:v>
      </x:c>
      <x:c r="Z140" s="194" t="n">
        <x:f>IF(AND(Y140=1,X140="",J140&lt;&gt;"Cancelado",NOT(OR(J140="Fechado",J140="Resolvido"))),1,0)</x:f>
        <x:v>0</x:v>
      </x:c>
      <x:c r="AA140" s="194" t="n">
        <x:f>IF(AND(Y140=1,X140="",OR(J140="Fechado",J140="Resolvido")),1,0)</x:f>
        <x:v>0</x:v>
      </x:c>
      <x:c r="AB140" s="194" t="n">
        <x:f>IF(Y140=0,0,IF(X140&lt;&gt;"",1,IF(Z140=0,0,IF(P140="ATRASADO",2,IF(AND(M140="ATRASADO",L140=""),3,IF(V140="ESCALAR",4,IF(V140="REVISAR BACKLOG",5,0)))))))</x:f>
        <x:v>0</x:v>
      </x:c>
      <x:c r="AC140" s="194" t="str">
        <x:f>IF(AB140=0,"",COUNTIFS($AB$5:$AB$204,"&gt;0",$AB$5:$AB$204,"&lt;"&amp;AB140)+COUNTIFS($AB$5:AB140,AB140))</x:f>
      </x:c>
      <x:c r="AD140" s="194" t="n">
        <x:f>IF(AND(A140&lt;&gt;"",X140=""),1,0)</x:f>
        <x:v>0</x:v>
      </x:c>
      <x:c r="AE140" s="194" t="n">
        <x:f>IF(AND(Y140=1,X140&lt;&gt;""),1,0)</x:f>
        <x:v>0</x:v>
      </x:c>
      <x:c r="AF140" s="194" t="n">
        <x:f>IF(L140="",1,0)</x:f>
        <x:v>1</x:v>
      </x:c>
    </x:row>
    <x:row r="141">
      <x:c r="A141" s="28"/>
      <x:c r="B141" s="41"/>
      <x:c r="C141" s="28"/>
      <x:c r="D141" s="28"/>
      <x:c r="E141" s="28"/>
      <x:c r="F141" s="28"/>
      <x:c r="G141" s="28"/>
      <x:c r="H141" s="28"/>
      <x:c r="I141" s="28"/>
      <x:c r="J141" s="28"/>
      <x:c r="K141" s="54" t="str">
        <x:f>IF(OR(A141="",X141&lt;&gt;""),"",B141+INDEX(Listas!$B$6:$B$9,MATCH(H141,Listas!$A$6:$A$9,0))/24)</x:f>
      </x:c>
      <x:c r="L141" s="41"/>
      <x:c r="M141" s="55" t="str">
        <x:f>IF(A141="","",IF(X141&lt;&gt;"","DADO PENDENTE",IF(J141="Cancelado","N.A.",IF(L141&lt;&gt;"",IF(L141&lt;=K141,"ATENDIDO","ATRASADO"),IF(OR(J141="Fechado",J141="Resolvido"),"SEM EVIDÊNCIA",IF(Listas!$B$18&gt;K141,"ATRASADO","PENDENTE"))))))</x:f>
      </x:c>
      <x:c r="N141" s="54" t="str">
        <x:f>IF(OR(A141="",X141&lt;&gt;""),"",B141+INDEX(Listas!$C$6:$C$9,MATCH(H141,Listas!$A$6:$A$9,0))/24)</x:f>
      </x:c>
      <x:c r="O141" s="41"/>
      <x:c r="P141" s="55" t="str">
        <x:f>IF(A141="","",IF(X141&lt;&gt;"","DADO PENDENTE",IF(J141="Cancelado","N.A.",IF(OR(J141="Fechado",J141="Resolvido"),IF(O141&lt;=N141,"ATENDIDO","ATRASADO"),IF(Listas!$B$18&gt;N141,"ATRASADO","PENDENTE")))))</x:f>
      </x:c>
      <x:c r="Q141" s="56" t="str">
        <x:f>IF(OR(A141="",X141&lt;&gt;"",J141="Cancelado"),"",24*IF(OR(J141="Fechado",J141="Resolvido"),O141-B141,Listas!$B$18-B141))</x:f>
      </x:c>
      <x:c r="R141" s="57" t="str">
        <x:f>IF(OR(A141="",X141&lt;&gt;"",J141="Cancelado"),"",INT(IF(OR(J141="Fechado",J141="Resolvido"),O141-B141,Listas!$B$18-B141)))</x:f>
      </x:c>
      <x:c r="S141" s="58"/>
      <x:c r="T141" s="58"/>
      <x:c r="U141" s="57" t="str">
        <x:f>IF(OR(A141="",X141&lt;&gt;"",J141="Cancelado"),"",S141*T141)</x:f>
      </x:c>
      <x:c r="V141" s="55" t="str">
        <x:f>IF(A141="","",IF(X141&lt;&gt;"","CORRIGIR DADOS",IF(J141="Cancelado","CANCELADO",IF(OR(J141="Fechado",J141="Resolvido"),"CONCLUÍDO",IF(OR(P141="ATRASADO",U141&gt;=Listas!$B$16),"ESCALAR",IF(AND(M141="ATRASADO",L141=""),"RESPONDER AGORA",IF(R141&gt;=Listas!$B$14,"REVISAR BACKLOG","ACOMPANHAR")))))))</x:f>
      </x:c>
      <x:c r="W141" s="28"/>
      <x:c r="X141" s="194" t="str">
        <x:f>IF(COUNTA(A141:J141,L141,O141,S141:T141,W141)=0,"",IF(OR(NOT(ISNUMBER(Listas!$B$14)),Listas!$B$14&lt;0,NOT(ISNUMBER(Listas!$B$16)),Listas!$B$16&lt;1,COUNT(Listas!$B$6:$C$9)&lt;&gt;8,MIN(Listas!$B$6:$C$9)&lt;=0),"Parâmetros inválidos",IF(A141="","ID ausente",IF(COUNTIFS($A$5:$A$204,A141)&lt;&gt;1,"ID duplicado",IF(OR(NOT(ISNUMBER(B141)),B141&lt;=0),"Abertura inválida",IF(OR(NOT(ISNUMBER(Listas!$B$18)),Listas!$B$18&lt;=0),"Data da análise inválida",IF(B141&gt;Listas!$B$18,"Abertura após análise",IF(COUNTIFS(Listas!$A$6:$A$9,H141)&lt;&gt;1,"Prioridade inválida",IF(COUNTIFS(Equipe!$A$5:$A$12,I141)&lt;&gt;1,"Responsável inválido",IF(COUNTIFS(Listas!$E$6:$E$11,J141)&lt;&gt;1,"Status inválido",IF(AND(L141&lt;&gt;"",OR(NOT(ISNUMBER(L141)),L141&lt;B141,L141&gt;Listas!$B$18)),"Resposta inválida",IF(AND(O141&lt;&gt;"",OR(NOT(ISNUMBER(O141)),O141&lt;B141,O141&gt;Listas!$B$18)),"Resolução inválida",IF(AND(OR(J141="Fechado",J141="Resolvido"),O141=""),"Conclusão sem resolução",IF(OR(NOT(ISNUMBER(S141)),S141&lt;1,S141&gt;5,IF(ISNUMBER(S141),S141&lt;&gt;INT(S141),FALSE),NOT(ISNUMBER(T141)),T141&lt;1,T141&gt;5,IF(ISNUMBER(T141),T141&lt;&gt;INT(T141),FALSE)),"Impacto ou urgência inválido",""))))))))))))))</x:f>
      </x:c>
      <x:c r="Y141" s="194" t="n">
        <x:f>IF(AND(COUNTA(A141:J141,L141,O141,S141:T141,W141)&gt;0,OR(Listas!$B$20="Todos",I141=Listas!$B$20)),1,0)</x:f>
        <x:v>0</x:v>
      </x:c>
      <x:c r="Z141" s="194" t="n">
        <x:f>IF(AND(Y141=1,X141="",J141&lt;&gt;"Cancelado",NOT(OR(J141="Fechado",J141="Resolvido"))),1,0)</x:f>
        <x:v>0</x:v>
      </x:c>
      <x:c r="AA141" s="194" t="n">
        <x:f>IF(AND(Y141=1,X141="",OR(J141="Fechado",J141="Resolvido")),1,0)</x:f>
        <x:v>0</x:v>
      </x:c>
      <x:c r="AB141" s="194" t="n">
        <x:f>IF(Y141=0,0,IF(X141&lt;&gt;"",1,IF(Z141=0,0,IF(P141="ATRASADO",2,IF(AND(M141="ATRASADO",L141=""),3,IF(V141="ESCALAR",4,IF(V141="REVISAR BACKLOG",5,0)))))))</x:f>
        <x:v>0</x:v>
      </x:c>
      <x:c r="AC141" s="194" t="str">
        <x:f>IF(AB141=0,"",COUNTIFS($AB$5:$AB$204,"&gt;0",$AB$5:$AB$204,"&lt;"&amp;AB141)+COUNTIFS($AB$5:AB141,AB141))</x:f>
      </x:c>
      <x:c r="AD141" s="194" t="n">
        <x:f>IF(AND(A141&lt;&gt;"",X141=""),1,0)</x:f>
        <x:v>0</x:v>
      </x:c>
      <x:c r="AE141" s="194" t="n">
        <x:f>IF(AND(Y141=1,X141&lt;&gt;""),1,0)</x:f>
        <x:v>0</x:v>
      </x:c>
      <x:c r="AF141" s="194" t="n">
        <x:f>IF(L141="",1,0)</x:f>
        <x:v>1</x:v>
      </x:c>
    </x:row>
    <x:row r="142">
      <x:c r="A142" s="28"/>
      <x:c r="B142" s="41"/>
      <x:c r="C142" s="28"/>
      <x:c r="D142" s="28"/>
      <x:c r="E142" s="28"/>
      <x:c r="F142" s="28"/>
      <x:c r="G142" s="28"/>
      <x:c r="H142" s="28"/>
      <x:c r="I142" s="28"/>
      <x:c r="J142" s="28"/>
      <x:c r="K142" s="54" t="str">
        <x:f>IF(OR(A142="",X142&lt;&gt;""),"",B142+INDEX(Listas!$B$6:$B$9,MATCH(H142,Listas!$A$6:$A$9,0))/24)</x:f>
      </x:c>
      <x:c r="L142" s="41"/>
      <x:c r="M142" s="55" t="str">
        <x:f>IF(A142="","",IF(X142&lt;&gt;"","DADO PENDENTE",IF(J142="Cancelado","N.A.",IF(L142&lt;&gt;"",IF(L142&lt;=K142,"ATENDIDO","ATRASADO"),IF(OR(J142="Fechado",J142="Resolvido"),"SEM EVIDÊNCIA",IF(Listas!$B$18&gt;K142,"ATRASADO","PENDENTE"))))))</x:f>
      </x:c>
      <x:c r="N142" s="54" t="str">
        <x:f>IF(OR(A142="",X142&lt;&gt;""),"",B142+INDEX(Listas!$C$6:$C$9,MATCH(H142,Listas!$A$6:$A$9,0))/24)</x:f>
      </x:c>
      <x:c r="O142" s="41"/>
      <x:c r="P142" s="55" t="str">
        <x:f>IF(A142="","",IF(X142&lt;&gt;"","DADO PENDENTE",IF(J142="Cancelado","N.A.",IF(OR(J142="Fechado",J142="Resolvido"),IF(O142&lt;=N142,"ATENDIDO","ATRASADO"),IF(Listas!$B$18&gt;N142,"ATRASADO","PENDENTE")))))</x:f>
      </x:c>
      <x:c r="Q142" s="56" t="str">
        <x:f>IF(OR(A142="",X142&lt;&gt;"",J142="Cancelado"),"",24*IF(OR(J142="Fechado",J142="Resolvido"),O142-B142,Listas!$B$18-B142))</x:f>
      </x:c>
      <x:c r="R142" s="57" t="str">
        <x:f>IF(OR(A142="",X142&lt;&gt;"",J142="Cancelado"),"",INT(IF(OR(J142="Fechado",J142="Resolvido"),O142-B142,Listas!$B$18-B142)))</x:f>
      </x:c>
      <x:c r="S142" s="58"/>
      <x:c r="T142" s="58"/>
      <x:c r="U142" s="57" t="str">
        <x:f>IF(OR(A142="",X142&lt;&gt;"",J142="Cancelado"),"",S142*T142)</x:f>
      </x:c>
      <x:c r="V142" s="55" t="str">
        <x:f>IF(A142="","",IF(X142&lt;&gt;"","CORRIGIR DADOS",IF(J142="Cancelado","CANCELADO",IF(OR(J142="Fechado",J142="Resolvido"),"CONCLUÍDO",IF(OR(P142="ATRASADO",U142&gt;=Listas!$B$16),"ESCALAR",IF(AND(M142="ATRASADO",L142=""),"RESPONDER AGORA",IF(R142&gt;=Listas!$B$14,"REVISAR BACKLOG","ACOMPANHAR")))))))</x:f>
      </x:c>
      <x:c r="W142" s="28"/>
      <x:c r="X142" s="194" t="str">
        <x:f>IF(COUNTA(A142:J142,L142,O142,S142:T142,W142)=0,"",IF(OR(NOT(ISNUMBER(Listas!$B$14)),Listas!$B$14&lt;0,NOT(ISNUMBER(Listas!$B$16)),Listas!$B$16&lt;1,COUNT(Listas!$B$6:$C$9)&lt;&gt;8,MIN(Listas!$B$6:$C$9)&lt;=0),"Parâmetros inválidos",IF(A142="","ID ausente",IF(COUNTIFS($A$5:$A$204,A142)&lt;&gt;1,"ID duplicado",IF(OR(NOT(ISNUMBER(B142)),B142&lt;=0),"Abertura inválida",IF(OR(NOT(ISNUMBER(Listas!$B$18)),Listas!$B$18&lt;=0),"Data da análise inválida",IF(B142&gt;Listas!$B$18,"Abertura após análise",IF(COUNTIFS(Listas!$A$6:$A$9,H142)&lt;&gt;1,"Prioridade inválida",IF(COUNTIFS(Equipe!$A$5:$A$12,I142)&lt;&gt;1,"Responsável inválido",IF(COUNTIFS(Listas!$E$6:$E$11,J142)&lt;&gt;1,"Status inválido",IF(AND(L142&lt;&gt;"",OR(NOT(ISNUMBER(L142)),L142&lt;B142,L142&gt;Listas!$B$18)),"Resposta inválida",IF(AND(O142&lt;&gt;"",OR(NOT(ISNUMBER(O142)),O142&lt;B142,O142&gt;Listas!$B$18)),"Resolução inválida",IF(AND(OR(J142="Fechado",J142="Resolvido"),O142=""),"Conclusão sem resolução",IF(OR(NOT(ISNUMBER(S142)),S142&lt;1,S142&gt;5,IF(ISNUMBER(S142),S142&lt;&gt;INT(S142),FALSE),NOT(ISNUMBER(T142)),T142&lt;1,T142&gt;5,IF(ISNUMBER(T142),T142&lt;&gt;INT(T142),FALSE)),"Impacto ou urgência inválido",""))))))))))))))</x:f>
      </x:c>
      <x:c r="Y142" s="194" t="n">
        <x:f>IF(AND(COUNTA(A142:J142,L142,O142,S142:T142,W142)&gt;0,OR(Listas!$B$20="Todos",I142=Listas!$B$20)),1,0)</x:f>
        <x:v>0</x:v>
      </x:c>
      <x:c r="Z142" s="194" t="n">
        <x:f>IF(AND(Y142=1,X142="",J142&lt;&gt;"Cancelado",NOT(OR(J142="Fechado",J142="Resolvido"))),1,0)</x:f>
        <x:v>0</x:v>
      </x:c>
      <x:c r="AA142" s="194" t="n">
        <x:f>IF(AND(Y142=1,X142="",OR(J142="Fechado",J142="Resolvido")),1,0)</x:f>
        <x:v>0</x:v>
      </x:c>
      <x:c r="AB142" s="194" t="n">
        <x:f>IF(Y142=0,0,IF(X142&lt;&gt;"",1,IF(Z142=0,0,IF(P142="ATRASADO",2,IF(AND(M142="ATRASADO",L142=""),3,IF(V142="ESCALAR",4,IF(V142="REVISAR BACKLOG",5,0)))))))</x:f>
        <x:v>0</x:v>
      </x:c>
      <x:c r="AC142" s="194" t="str">
        <x:f>IF(AB142=0,"",COUNTIFS($AB$5:$AB$204,"&gt;0",$AB$5:$AB$204,"&lt;"&amp;AB142)+COUNTIFS($AB$5:AB142,AB142))</x:f>
      </x:c>
      <x:c r="AD142" s="194" t="n">
        <x:f>IF(AND(A142&lt;&gt;"",X142=""),1,0)</x:f>
        <x:v>0</x:v>
      </x:c>
      <x:c r="AE142" s="194" t="n">
        <x:f>IF(AND(Y142=1,X142&lt;&gt;""),1,0)</x:f>
        <x:v>0</x:v>
      </x:c>
      <x:c r="AF142" s="194" t="n">
        <x:f>IF(L142="",1,0)</x:f>
        <x:v>1</x:v>
      </x:c>
    </x:row>
    <x:row r="143">
      <x:c r="A143" s="28"/>
      <x:c r="B143" s="41"/>
      <x:c r="C143" s="28"/>
      <x:c r="D143" s="28"/>
      <x:c r="E143" s="28"/>
      <x:c r="F143" s="28"/>
      <x:c r="G143" s="28"/>
      <x:c r="H143" s="28"/>
      <x:c r="I143" s="28"/>
      <x:c r="J143" s="28"/>
      <x:c r="K143" s="54" t="str">
        <x:f>IF(OR(A143="",X143&lt;&gt;""),"",B143+INDEX(Listas!$B$6:$B$9,MATCH(H143,Listas!$A$6:$A$9,0))/24)</x:f>
      </x:c>
      <x:c r="L143" s="41"/>
      <x:c r="M143" s="55" t="str">
        <x:f>IF(A143="","",IF(X143&lt;&gt;"","DADO PENDENTE",IF(J143="Cancelado","N.A.",IF(L143&lt;&gt;"",IF(L143&lt;=K143,"ATENDIDO","ATRASADO"),IF(OR(J143="Fechado",J143="Resolvido"),"SEM EVIDÊNCIA",IF(Listas!$B$18&gt;K143,"ATRASADO","PENDENTE"))))))</x:f>
      </x:c>
      <x:c r="N143" s="54" t="str">
        <x:f>IF(OR(A143="",X143&lt;&gt;""),"",B143+INDEX(Listas!$C$6:$C$9,MATCH(H143,Listas!$A$6:$A$9,0))/24)</x:f>
      </x:c>
      <x:c r="O143" s="41"/>
      <x:c r="P143" s="55" t="str">
        <x:f>IF(A143="","",IF(X143&lt;&gt;"","DADO PENDENTE",IF(J143="Cancelado","N.A.",IF(OR(J143="Fechado",J143="Resolvido"),IF(O143&lt;=N143,"ATENDIDO","ATRASADO"),IF(Listas!$B$18&gt;N143,"ATRASADO","PENDENTE")))))</x:f>
      </x:c>
      <x:c r="Q143" s="56" t="str">
        <x:f>IF(OR(A143="",X143&lt;&gt;"",J143="Cancelado"),"",24*IF(OR(J143="Fechado",J143="Resolvido"),O143-B143,Listas!$B$18-B143))</x:f>
      </x:c>
      <x:c r="R143" s="57" t="str">
        <x:f>IF(OR(A143="",X143&lt;&gt;"",J143="Cancelado"),"",INT(IF(OR(J143="Fechado",J143="Resolvido"),O143-B143,Listas!$B$18-B143)))</x:f>
      </x:c>
      <x:c r="S143" s="58"/>
      <x:c r="T143" s="58"/>
      <x:c r="U143" s="57" t="str">
        <x:f>IF(OR(A143="",X143&lt;&gt;"",J143="Cancelado"),"",S143*T143)</x:f>
      </x:c>
      <x:c r="V143" s="55" t="str">
        <x:f>IF(A143="","",IF(X143&lt;&gt;"","CORRIGIR DADOS",IF(J143="Cancelado","CANCELADO",IF(OR(J143="Fechado",J143="Resolvido"),"CONCLUÍDO",IF(OR(P143="ATRASADO",U143&gt;=Listas!$B$16),"ESCALAR",IF(AND(M143="ATRASADO",L143=""),"RESPONDER AGORA",IF(R143&gt;=Listas!$B$14,"REVISAR BACKLOG","ACOMPANHAR")))))))</x:f>
      </x:c>
      <x:c r="W143" s="28"/>
      <x:c r="X143" s="194" t="str">
        <x:f>IF(COUNTA(A143:J143,L143,O143,S143:T143,W143)=0,"",IF(OR(NOT(ISNUMBER(Listas!$B$14)),Listas!$B$14&lt;0,NOT(ISNUMBER(Listas!$B$16)),Listas!$B$16&lt;1,COUNT(Listas!$B$6:$C$9)&lt;&gt;8,MIN(Listas!$B$6:$C$9)&lt;=0),"Parâmetros inválidos",IF(A143="","ID ausente",IF(COUNTIFS($A$5:$A$204,A143)&lt;&gt;1,"ID duplicado",IF(OR(NOT(ISNUMBER(B143)),B143&lt;=0),"Abertura inválida",IF(OR(NOT(ISNUMBER(Listas!$B$18)),Listas!$B$18&lt;=0),"Data da análise inválida",IF(B143&gt;Listas!$B$18,"Abertura após análise",IF(COUNTIFS(Listas!$A$6:$A$9,H143)&lt;&gt;1,"Prioridade inválida",IF(COUNTIFS(Equipe!$A$5:$A$12,I143)&lt;&gt;1,"Responsável inválido",IF(COUNTIFS(Listas!$E$6:$E$11,J143)&lt;&gt;1,"Status inválido",IF(AND(L143&lt;&gt;"",OR(NOT(ISNUMBER(L143)),L143&lt;B143,L143&gt;Listas!$B$18)),"Resposta inválida",IF(AND(O143&lt;&gt;"",OR(NOT(ISNUMBER(O143)),O143&lt;B143,O143&gt;Listas!$B$18)),"Resolução inválida",IF(AND(OR(J143="Fechado",J143="Resolvido"),O143=""),"Conclusão sem resolução",IF(OR(NOT(ISNUMBER(S143)),S143&lt;1,S143&gt;5,IF(ISNUMBER(S143),S143&lt;&gt;INT(S143),FALSE),NOT(ISNUMBER(T143)),T143&lt;1,T143&gt;5,IF(ISNUMBER(T143),T143&lt;&gt;INT(T143),FALSE)),"Impacto ou urgência inválido",""))))))))))))))</x:f>
      </x:c>
      <x:c r="Y143" s="194" t="n">
        <x:f>IF(AND(COUNTA(A143:J143,L143,O143,S143:T143,W143)&gt;0,OR(Listas!$B$20="Todos",I143=Listas!$B$20)),1,0)</x:f>
        <x:v>0</x:v>
      </x:c>
      <x:c r="Z143" s="194" t="n">
        <x:f>IF(AND(Y143=1,X143="",J143&lt;&gt;"Cancelado",NOT(OR(J143="Fechado",J143="Resolvido"))),1,0)</x:f>
        <x:v>0</x:v>
      </x:c>
      <x:c r="AA143" s="194" t="n">
        <x:f>IF(AND(Y143=1,X143="",OR(J143="Fechado",J143="Resolvido")),1,0)</x:f>
        <x:v>0</x:v>
      </x:c>
      <x:c r="AB143" s="194" t="n">
        <x:f>IF(Y143=0,0,IF(X143&lt;&gt;"",1,IF(Z143=0,0,IF(P143="ATRASADO",2,IF(AND(M143="ATRASADO",L143=""),3,IF(V143="ESCALAR",4,IF(V143="REVISAR BACKLOG",5,0)))))))</x:f>
        <x:v>0</x:v>
      </x:c>
      <x:c r="AC143" s="194" t="str">
        <x:f>IF(AB143=0,"",COUNTIFS($AB$5:$AB$204,"&gt;0",$AB$5:$AB$204,"&lt;"&amp;AB143)+COUNTIFS($AB$5:AB143,AB143))</x:f>
      </x:c>
      <x:c r="AD143" s="194" t="n">
        <x:f>IF(AND(A143&lt;&gt;"",X143=""),1,0)</x:f>
        <x:v>0</x:v>
      </x:c>
      <x:c r="AE143" s="194" t="n">
        <x:f>IF(AND(Y143=1,X143&lt;&gt;""),1,0)</x:f>
        <x:v>0</x:v>
      </x:c>
      <x:c r="AF143" s="194" t="n">
        <x:f>IF(L143="",1,0)</x:f>
        <x:v>1</x:v>
      </x:c>
    </x:row>
    <x:row r="144">
      <x:c r="A144" s="28"/>
      <x:c r="B144" s="41"/>
      <x:c r="C144" s="28"/>
      <x:c r="D144" s="28"/>
      <x:c r="E144" s="28"/>
      <x:c r="F144" s="28"/>
      <x:c r="G144" s="28"/>
      <x:c r="H144" s="28"/>
      <x:c r="I144" s="28"/>
      <x:c r="J144" s="28"/>
      <x:c r="K144" s="54" t="str">
        <x:f>IF(OR(A144="",X144&lt;&gt;""),"",B144+INDEX(Listas!$B$6:$B$9,MATCH(H144,Listas!$A$6:$A$9,0))/24)</x:f>
      </x:c>
      <x:c r="L144" s="41"/>
      <x:c r="M144" s="55" t="str">
        <x:f>IF(A144="","",IF(X144&lt;&gt;"","DADO PENDENTE",IF(J144="Cancelado","N.A.",IF(L144&lt;&gt;"",IF(L144&lt;=K144,"ATENDIDO","ATRASADO"),IF(OR(J144="Fechado",J144="Resolvido"),"SEM EVIDÊNCIA",IF(Listas!$B$18&gt;K144,"ATRASADO","PENDENTE"))))))</x:f>
      </x:c>
      <x:c r="N144" s="54" t="str">
        <x:f>IF(OR(A144="",X144&lt;&gt;""),"",B144+INDEX(Listas!$C$6:$C$9,MATCH(H144,Listas!$A$6:$A$9,0))/24)</x:f>
      </x:c>
      <x:c r="O144" s="41"/>
      <x:c r="P144" s="55" t="str">
        <x:f>IF(A144="","",IF(X144&lt;&gt;"","DADO PENDENTE",IF(J144="Cancelado","N.A.",IF(OR(J144="Fechado",J144="Resolvido"),IF(O144&lt;=N144,"ATENDIDO","ATRASADO"),IF(Listas!$B$18&gt;N144,"ATRASADO","PENDENTE")))))</x:f>
      </x:c>
      <x:c r="Q144" s="56" t="str">
        <x:f>IF(OR(A144="",X144&lt;&gt;"",J144="Cancelado"),"",24*IF(OR(J144="Fechado",J144="Resolvido"),O144-B144,Listas!$B$18-B144))</x:f>
      </x:c>
      <x:c r="R144" s="57" t="str">
        <x:f>IF(OR(A144="",X144&lt;&gt;"",J144="Cancelado"),"",INT(IF(OR(J144="Fechado",J144="Resolvido"),O144-B144,Listas!$B$18-B144)))</x:f>
      </x:c>
      <x:c r="S144" s="58"/>
      <x:c r="T144" s="58"/>
      <x:c r="U144" s="57" t="str">
        <x:f>IF(OR(A144="",X144&lt;&gt;"",J144="Cancelado"),"",S144*T144)</x:f>
      </x:c>
      <x:c r="V144" s="55" t="str">
        <x:f>IF(A144="","",IF(X144&lt;&gt;"","CORRIGIR DADOS",IF(J144="Cancelado","CANCELADO",IF(OR(J144="Fechado",J144="Resolvido"),"CONCLUÍDO",IF(OR(P144="ATRASADO",U144&gt;=Listas!$B$16),"ESCALAR",IF(AND(M144="ATRASADO",L144=""),"RESPONDER AGORA",IF(R144&gt;=Listas!$B$14,"REVISAR BACKLOG","ACOMPANHAR")))))))</x:f>
      </x:c>
      <x:c r="W144" s="28"/>
      <x:c r="X144" s="194" t="str">
        <x:f>IF(COUNTA(A144:J144,L144,O144,S144:T144,W144)=0,"",IF(OR(NOT(ISNUMBER(Listas!$B$14)),Listas!$B$14&lt;0,NOT(ISNUMBER(Listas!$B$16)),Listas!$B$16&lt;1,COUNT(Listas!$B$6:$C$9)&lt;&gt;8,MIN(Listas!$B$6:$C$9)&lt;=0),"Parâmetros inválidos",IF(A144="","ID ausente",IF(COUNTIFS($A$5:$A$204,A144)&lt;&gt;1,"ID duplicado",IF(OR(NOT(ISNUMBER(B144)),B144&lt;=0),"Abertura inválida",IF(OR(NOT(ISNUMBER(Listas!$B$18)),Listas!$B$18&lt;=0),"Data da análise inválida",IF(B144&gt;Listas!$B$18,"Abertura após análise",IF(COUNTIFS(Listas!$A$6:$A$9,H144)&lt;&gt;1,"Prioridade inválida",IF(COUNTIFS(Equipe!$A$5:$A$12,I144)&lt;&gt;1,"Responsável inválido",IF(COUNTIFS(Listas!$E$6:$E$11,J144)&lt;&gt;1,"Status inválido",IF(AND(L144&lt;&gt;"",OR(NOT(ISNUMBER(L144)),L144&lt;B144,L144&gt;Listas!$B$18)),"Resposta inválida",IF(AND(O144&lt;&gt;"",OR(NOT(ISNUMBER(O144)),O144&lt;B144,O144&gt;Listas!$B$18)),"Resolução inválida",IF(AND(OR(J144="Fechado",J144="Resolvido"),O144=""),"Conclusão sem resolução",IF(OR(NOT(ISNUMBER(S144)),S144&lt;1,S144&gt;5,IF(ISNUMBER(S144),S144&lt;&gt;INT(S144),FALSE),NOT(ISNUMBER(T144)),T144&lt;1,T144&gt;5,IF(ISNUMBER(T144),T144&lt;&gt;INT(T144),FALSE)),"Impacto ou urgência inválido",""))))))))))))))</x:f>
      </x:c>
      <x:c r="Y144" s="194" t="n">
        <x:f>IF(AND(COUNTA(A144:J144,L144,O144,S144:T144,W144)&gt;0,OR(Listas!$B$20="Todos",I144=Listas!$B$20)),1,0)</x:f>
        <x:v>0</x:v>
      </x:c>
      <x:c r="Z144" s="194" t="n">
        <x:f>IF(AND(Y144=1,X144="",J144&lt;&gt;"Cancelado",NOT(OR(J144="Fechado",J144="Resolvido"))),1,0)</x:f>
        <x:v>0</x:v>
      </x:c>
      <x:c r="AA144" s="194" t="n">
        <x:f>IF(AND(Y144=1,X144="",OR(J144="Fechado",J144="Resolvido")),1,0)</x:f>
        <x:v>0</x:v>
      </x:c>
      <x:c r="AB144" s="194" t="n">
        <x:f>IF(Y144=0,0,IF(X144&lt;&gt;"",1,IF(Z144=0,0,IF(P144="ATRASADO",2,IF(AND(M144="ATRASADO",L144=""),3,IF(V144="ESCALAR",4,IF(V144="REVISAR BACKLOG",5,0)))))))</x:f>
        <x:v>0</x:v>
      </x:c>
      <x:c r="AC144" s="194" t="str">
        <x:f>IF(AB144=0,"",COUNTIFS($AB$5:$AB$204,"&gt;0",$AB$5:$AB$204,"&lt;"&amp;AB144)+COUNTIFS($AB$5:AB144,AB144))</x:f>
      </x:c>
      <x:c r="AD144" s="194" t="n">
        <x:f>IF(AND(A144&lt;&gt;"",X144=""),1,0)</x:f>
        <x:v>0</x:v>
      </x:c>
      <x:c r="AE144" s="194" t="n">
        <x:f>IF(AND(Y144=1,X144&lt;&gt;""),1,0)</x:f>
        <x:v>0</x:v>
      </x:c>
      <x:c r="AF144" s="194" t="n">
        <x:f>IF(L144="",1,0)</x:f>
        <x:v>1</x:v>
      </x:c>
    </x:row>
    <x:row r="145">
      <x:c r="A145" s="28"/>
      <x:c r="B145" s="41"/>
      <x:c r="C145" s="28"/>
      <x:c r="D145" s="28"/>
      <x:c r="E145" s="28"/>
      <x:c r="F145" s="28"/>
      <x:c r="G145" s="28"/>
      <x:c r="H145" s="28"/>
      <x:c r="I145" s="28"/>
      <x:c r="J145" s="28"/>
      <x:c r="K145" s="54" t="str">
        <x:f>IF(OR(A145="",X145&lt;&gt;""),"",B145+INDEX(Listas!$B$6:$B$9,MATCH(H145,Listas!$A$6:$A$9,0))/24)</x:f>
      </x:c>
      <x:c r="L145" s="41"/>
      <x:c r="M145" s="55" t="str">
        <x:f>IF(A145="","",IF(X145&lt;&gt;"","DADO PENDENTE",IF(J145="Cancelado","N.A.",IF(L145&lt;&gt;"",IF(L145&lt;=K145,"ATENDIDO","ATRASADO"),IF(OR(J145="Fechado",J145="Resolvido"),"SEM EVIDÊNCIA",IF(Listas!$B$18&gt;K145,"ATRASADO","PENDENTE"))))))</x:f>
      </x:c>
      <x:c r="N145" s="54" t="str">
        <x:f>IF(OR(A145="",X145&lt;&gt;""),"",B145+INDEX(Listas!$C$6:$C$9,MATCH(H145,Listas!$A$6:$A$9,0))/24)</x:f>
      </x:c>
      <x:c r="O145" s="41"/>
      <x:c r="P145" s="55" t="str">
        <x:f>IF(A145="","",IF(X145&lt;&gt;"","DADO PENDENTE",IF(J145="Cancelado","N.A.",IF(OR(J145="Fechado",J145="Resolvido"),IF(O145&lt;=N145,"ATENDIDO","ATRASADO"),IF(Listas!$B$18&gt;N145,"ATRASADO","PENDENTE")))))</x:f>
      </x:c>
      <x:c r="Q145" s="56" t="str">
        <x:f>IF(OR(A145="",X145&lt;&gt;"",J145="Cancelado"),"",24*IF(OR(J145="Fechado",J145="Resolvido"),O145-B145,Listas!$B$18-B145))</x:f>
      </x:c>
      <x:c r="R145" s="57" t="str">
        <x:f>IF(OR(A145="",X145&lt;&gt;"",J145="Cancelado"),"",INT(IF(OR(J145="Fechado",J145="Resolvido"),O145-B145,Listas!$B$18-B145)))</x:f>
      </x:c>
      <x:c r="S145" s="58"/>
      <x:c r="T145" s="58"/>
      <x:c r="U145" s="57" t="str">
        <x:f>IF(OR(A145="",X145&lt;&gt;"",J145="Cancelado"),"",S145*T145)</x:f>
      </x:c>
      <x:c r="V145" s="55" t="str">
        <x:f>IF(A145="","",IF(X145&lt;&gt;"","CORRIGIR DADOS",IF(J145="Cancelado","CANCELADO",IF(OR(J145="Fechado",J145="Resolvido"),"CONCLUÍDO",IF(OR(P145="ATRASADO",U145&gt;=Listas!$B$16),"ESCALAR",IF(AND(M145="ATRASADO",L145=""),"RESPONDER AGORA",IF(R145&gt;=Listas!$B$14,"REVISAR BACKLOG","ACOMPANHAR")))))))</x:f>
      </x:c>
      <x:c r="W145" s="28"/>
      <x:c r="X145" s="194" t="str">
        <x:f>IF(COUNTA(A145:J145,L145,O145,S145:T145,W145)=0,"",IF(OR(NOT(ISNUMBER(Listas!$B$14)),Listas!$B$14&lt;0,NOT(ISNUMBER(Listas!$B$16)),Listas!$B$16&lt;1,COUNT(Listas!$B$6:$C$9)&lt;&gt;8,MIN(Listas!$B$6:$C$9)&lt;=0),"Parâmetros inválidos",IF(A145="","ID ausente",IF(COUNTIFS($A$5:$A$204,A145)&lt;&gt;1,"ID duplicado",IF(OR(NOT(ISNUMBER(B145)),B145&lt;=0),"Abertura inválida",IF(OR(NOT(ISNUMBER(Listas!$B$18)),Listas!$B$18&lt;=0),"Data da análise inválida",IF(B145&gt;Listas!$B$18,"Abertura após análise",IF(COUNTIFS(Listas!$A$6:$A$9,H145)&lt;&gt;1,"Prioridade inválida",IF(COUNTIFS(Equipe!$A$5:$A$12,I145)&lt;&gt;1,"Responsável inválido",IF(COUNTIFS(Listas!$E$6:$E$11,J145)&lt;&gt;1,"Status inválido",IF(AND(L145&lt;&gt;"",OR(NOT(ISNUMBER(L145)),L145&lt;B145,L145&gt;Listas!$B$18)),"Resposta inválida",IF(AND(O145&lt;&gt;"",OR(NOT(ISNUMBER(O145)),O145&lt;B145,O145&gt;Listas!$B$18)),"Resolução inválida",IF(AND(OR(J145="Fechado",J145="Resolvido"),O145=""),"Conclusão sem resolução",IF(OR(NOT(ISNUMBER(S145)),S145&lt;1,S145&gt;5,IF(ISNUMBER(S145),S145&lt;&gt;INT(S145),FALSE),NOT(ISNUMBER(T145)),T145&lt;1,T145&gt;5,IF(ISNUMBER(T145),T145&lt;&gt;INT(T145),FALSE)),"Impacto ou urgência inválido",""))))))))))))))</x:f>
      </x:c>
      <x:c r="Y145" s="194" t="n">
        <x:f>IF(AND(COUNTA(A145:J145,L145,O145,S145:T145,W145)&gt;0,OR(Listas!$B$20="Todos",I145=Listas!$B$20)),1,0)</x:f>
        <x:v>0</x:v>
      </x:c>
      <x:c r="Z145" s="194" t="n">
        <x:f>IF(AND(Y145=1,X145="",J145&lt;&gt;"Cancelado",NOT(OR(J145="Fechado",J145="Resolvido"))),1,0)</x:f>
        <x:v>0</x:v>
      </x:c>
      <x:c r="AA145" s="194" t="n">
        <x:f>IF(AND(Y145=1,X145="",OR(J145="Fechado",J145="Resolvido")),1,0)</x:f>
        <x:v>0</x:v>
      </x:c>
      <x:c r="AB145" s="194" t="n">
        <x:f>IF(Y145=0,0,IF(X145&lt;&gt;"",1,IF(Z145=0,0,IF(P145="ATRASADO",2,IF(AND(M145="ATRASADO",L145=""),3,IF(V145="ESCALAR",4,IF(V145="REVISAR BACKLOG",5,0)))))))</x:f>
        <x:v>0</x:v>
      </x:c>
      <x:c r="AC145" s="194" t="str">
        <x:f>IF(AB145=0,"",COUNTIFS($AB$5:$AB$204,"&gt;0",$AB$5:$AB$204,"&lt;"&amp;AB145)+COUNTIFS($AB$5:AB145,AB145))</x:f>
      </x:c>
      <x:c r="AD145" s="194" t="n">
        <x:f>IF(AND(A145&lt;&gt;"",X145=""),1,0)</x:f>
        <x:v>0</x:v>
      </x:c>
      <x:c r="AE145" s="194" t="n">
        <x:f>IF(AND(Y145=1,X145&lt;&gt;""),1,0)</x:f>
        <x:v>0</x:v>
      </x:c>
      <x:c r="AF145" s="194" t="n">
        <x:f>IF(L145="",1,0)</x:f>
        <x:v>1</x:v>
      </x:c>
    </x:row>
    <x:row r="146">
      <x:c r="A146" s="28"/>
      <x:c r="B146" s="41"/>
      <x:c r="C146" s="28"/>
      <x:c r="D146" s="28"/>
      <x:c r="E146" s="28"/>
      <x:c r="F146" s="28"/>
      <x:c r="G146" s="28"/>
      <x:c r="H146" s="28"/>
      <x:c r="I146" s="28"/>
      <x:c r="J146" s="28"/>
      <x:c r="K146" s="54" t="str">
        <x:f>IF(OR(A146="",X146&lt;&gt;""),"",B146+INDEX(Listas!$B$6:$B$9,MATCH(H146,Listas!$A$6:$A$9,0))/24)</x:f>
      </x:c>
      <x:c r="L146" s="41"/>
      <x:c r="M146" s="55" t="str">
        <x:f>IF(A146="","",IF(X146&lt;&gt;"","DADO PENDENTE",IF(J146="Cancelado","N.A.",IF(L146&lt;&gt;"",IF(L146&lt;=K146,"ATENDIDO","ATRASADO"),IF(OR(J146="Fechado",J146="Resolvido"),"SEM EVIDÊNCIA",IF(Listas!$B$18&gt;K146,"ATRASADO","PENDENTE"))))))</x:f>
      </x:c>
      <x:c r="N146" s="54" t="str">
        <x:f>IF(OR(A146="",X146&lt;&gt;""),"",B146+INDEX(Listas!$C$6:$C$9,MATCH(H146,Listas!$A$6:$A$9,0))/24)</x:f>
      </x:c>
      <x:c r="O146" s="41"/>
      <x:c r="P146" s="55" t="str">
        <x:f>IF(A146="","",IF(X146&lt;&gt;"","DADO PENDENTE",IF(J146="Cancelado","N.A.",IF(OR(J146="Fechado",J146="Resolvido"),IF(O146&lt;=N146,"ATENDIDO","ATRASADO"),IF(Listas!$B$18&gt;N146,"ATRASADO","PENDENTE")))))</x:f>
      </x:c>
      <x:c r="Q146" s="56" t="str">
        <x:f>IF(OR(A146="",X146&lt;&gt;"",J146="Cancelado"),"",24*IF(OR(J146="Fechado",J146="Resolvido"),O146-B146,Listas!$B$18-B146))</x:f>
      </x:c>
      <x:c r="R146" s="57" t="str">
        <x:f>IF(OR(A146="",X146&lt;&gt;"",J146="Cancelado"),"",INT(IF(OR(J146="Fechado",J146="Resolvido"),O146-B146,Listas!$B$18-B146)))</x:f>
      </x:c>
      <x:c r="S146" s="58"/>
      <x:c r="T146" s="58"/>
      <x:c r="U146" s="57" t="str">
        <x:f>IF(OR(A146="",X146&lt;&gt;"",J146="Cancelado"),"",S146*T146)</x:f>
      </x:c>
      <x:c r="V146" s="55" t="str">
        <x:f>IF(A146="","",IF(X146&lt;&gt;"","CORRIGIR DADOS",IF(J146="Cancelado","CANCELADO",IF(OR(J146="Fechado",J146="Resolvido"),"CONCLUÍDO",IF(OR(P146="ATRASADO",U146&gt;=Listas!$B$16),"ESCALAR",IF(AND(M146="ATRASADO",L146=""),"RESPONDER AGORA",IF(R146&gt;=Listas!$B$14,"REVISAR BACKLOG","ACOMPANHAR")))))))</x:f>
      </x:c>
      <x:c r="W146" s="28"/>
      <x:c r="X146" s="194" t="str">
        <x:f>IF(COUNTA(A146:J146,L146,O146,S146:T146,W146)=0,"",IF(OR(NOT(ISNUMBER(Listas!$B$14)),Listas!$B$14&lt;0,NOT(ISNUMBER(Listas!$B$16)),Listas!$B$16&lt;1,COUNT(Listas!$B$6:$C$9)&lt;&gt;8,MIN(Listas!$B$6:$C$9)&lt;=0),"Parâmetros inválidos",IF(A146="","ID ausente",IF(COUNTIFS($A$5:$A$204,A146)&lt;&gt;1,"ID duplicado",IF(OR(NOT(ISNUMBER(B146)),B146&lt;=0),"Abertura inválida",IF(OR(NOT(ISNUMBER(Listas!$B$18)),Listas!$B$18&lt;=0),"Data da análise inválida",IF(B146&gt;Listas!$B$18,"Abertura após análise",IF(COUNTIFS(Listas!$A$6:$A$9,H146)&lt;&gt;1,"Prioridade inválida",IF(COUNTIFS(Equipe!$A$5:$A$12,I146)&lt;&gt;1,"Responsável inválido",IF(COUNTIFS(Listas!$E$6:$E$11,J146)&lt;&gt;1,"Status inválido",IF(AND(L146&lt;&gt;"",OR(NOT(ISNUMBER(L146)),L146&lt;B146,L146&gt;Listas!$B$18)),"Resposta inválida",IF(AND(O146&lt;&gt;"",OR(NOT(ISNUMBER(O146)),O146&lt;B146,O146&gt;Listas!$B$18)),"Resolução inválida",IF(AND(OR(J146="Fechado",J146="Resolvido"),O146=""),"Conclusão sem resolução",IF(OR(NOT(ISNUMBER(S146)),S146&lt;1,S146&gt;5,IF(ISNUMBER(S146),S146&lt;&gt;INT(S146),FALSE),NOT(ISNUMBER(T146)),T146&lt;1,T146&gt;5,IF(ISNUMBER(T146),T146&lt;&gt;INT(T146),FALSE)),"Impacto ou urgência inválido",""))))))))))))))</x:f>
      </x:c>
      <x:c r="Y146" s="194" t="n">
        <x:f>IF(AND(COUNTA(A146:J146,L146,O146,S146:T146,W146)&gt;0,OR(Listas!$B$20="Todos",I146=Listas!$B$20)),1,0)</x:f>
        <x:v>0</x:v>
      </x:c>
      <x:c r="Z146" s="194" t="n">
        <x:f>IF(AND(Y146=1,X146="",J146&lt;&gt;"Cancelado",NOT(OR(J146="Fechado",J146="Resolvido"))),1,0)</x:f>
        <x:v>0</x:v>
      </x:c>
      <x:c r="AA146" s="194" t="n">
        <x:f>IF(AND(Y146=1,X146="",OR(J146="Fechado",J146="Resolvido")),1,0)</x:f>
        <x:v>0</x:v>
      </x:c>
      <x:c r="AB146" s="194" t="n">
        <x:f>IF(Y146=0,0,IF(X146&lt;&gt;"",1,IF(Z146=0,0,IF(P146="ATRASADO",2,IF(AND(M146="ATRASADO",L146=""),3,IF(V146="ESCALAR",4,IF(V146="REVISAR BACKLOG",5,0)))))))</x:f>
        <x:v>0</x:v>
      </x:c>
      <x:c r="AC146" s="194" t="str">
        <x:f>IF(AB146=0,"",COUNTIFS($AB$5:$AB$204,"&gt;0",$AB$5:$AB$204,"&lt;"&amp;AB146)+COUNTIFS($AB$5:AB146,AB146))</x:f>
      </x:c>
      <x:c r="AD146" s="194" t="n">
        <x:f>IF(AND(A146&lt;&gt;"",X146=""),1,0)</x:f>
        <x:v>0</x:v>
      </x:c>
      <x:c r="AE146" s="194" t="n">
        <x:f>IF(AND(Y146=1,X146&lt;&gt;""),1,0)</x:f>
        <x:v>0</x:v>
      </x:c>
      <x:c r="AF146" s="194" t="n">
        <x:f>IF(L146="",1,0)</x:f>
        <x:v>1</x:v>
      </x:c>
    </x:row>
    <x:row r="147">
      <x:c r="A147" s="28"/>
      <x:c r="B147" s="41"/>
      <x:c r="C147" s="28"/>
      <x:c r="D147" s="28"/>
      <x:c r="E147" s="28"/>
      <x:c r="F147" s="28"/>
      <x:c r="G147" s="28"/>
      <x:c r="H147" s="28"/>
      <x:c r="I147" s="28"/>
      <x:c r="J147" s="28"/>
      <x:c r="K147" s="54" t="str">
        <x:f>IF(OR(A147="",X147&lt;&gt;""),"",B147+INDEX(Listas!$B$6:$B$9,MATCH(H147,Listas!$A$6:$A$9,0))/24)</x:f>
      </x:c>
      <x:c r="L147" s="41"/>
      <x:c r="M147" s="55" t="str">
        <x:f>IF(A147="","",IF(X147&lt;&gt;"","DADO PENDENTE",IF(J147="Cancelado","N.A.",IF(L147&lt;&gt;"",IF(L147&lt;=K147,"ATENDIDO","ATRASADO"),IF(OR(J147="Fechado",J147="Resolvido"),"SEM EVIDÊNCIA",IF(Listas!$B$18&gt;K147,"ATRASADO","PENDENTE"))))))</x:f>
      </x:c>
      <x:c r="N147" s="54" t="str">
        <x:f>IF(OR(A147="",X147&lt;&gt;""),"",B147+INDEX(Listas!$C$6:$C$9,MATCH(H147,Listas!$A$6:$A$9,0))/24)</x:f>
      </x:c>
      <x:c r="O147" s="41"/>
      <x:c r="P147" s="55" t="str">
        <x:f>IF(A147="","",IF(X147&lt;&gt;"","DADO PENDENTE",IF(J147="Cancelado","N.A.",IF(OR(J147="Fechado",J147="Resolvido"),IF(O147&lt;=N147,"ATENDIDO","ATRASADO"),IF(Listas!$B$18&gt;N147,"ATRASADO","PENDENTE")))))</x:f>
      </x:c>
      <x:c r="Q147" s="56" t="str">
        <x:f>IF(OR(A147="",X147&lt;&gt;"",J147="Cancelado"),"",24*IF(OR(J147="Fechado",J147="Resolvido"),O147-B147,Listas!$B$18-B147))</x:f>
      </x:c>
      <x:c r="R147" s="57" t="str">
        <x:f>IF(OR(A147="",X147&lt;&gt;"",J147="Cancelado"),"",INT(IF(OR(J147="Fechado",J147="Resolvido"),O147-B147,Listas!$B$18-B147)))</x:f>
      </x:c>
      <x:c r="S147" s="58"/>
      <x:c r="T147" s="58"/>
      <x:c r="U147" s="57" t="str">
        <x:f>IF(OR(A147="",X147&lt;&gt;"",J147="Cancelado"),"",S147*T147)</x:f>
      </x:c>
      <x:c r="V147" s="55" t="str">
        <x:f>IF(A147="","",IF(X147&lt;&gt;"","CORRIGIR DADOS",IF(J147="Cancelado","CANCELADO",IF(OR(J147="Fechado",J147="Resolvido"),"CONCLUÍDO",IF(OR(P147="ATRASADO",U147&gt;=Listas!$B$16),"ESCALAR",IF(AND(M147="ATRASADO",L147=""),"RESPONDER AGORA",IF(R147&gt;=Listas!$B$14,"REVISAR BACKLOG","ACOMPANHAR")))))))</x:f>
      </x:c>
      <x:c r="W147" s="28"/>
      <x:c r="X147" s="194" t="str">
        <x:f>IF(COUNTA(A147:J147,L147,O147,S147:T147,W147)=0,"",IF(OR(NOT(ISNUMBER(Listas!$B$14)),Listas!$B$14&lt;0,NOT(ISNUMBER(Listas!$B$16)),Listas!$B$16&lt;1,COUNT(Listas!$B$6:$C$9)&lt;&gt;8,MIN(Listas!$B$6:$C$9)&lt;=0),"Parâmetros inválidos",IF(A147="","ID ausente",IF(COUNTIFS($A$5:$A$204,A147)&lt;&gt;1,"ID duplicado",IF(OR(NOT(ISNUMBER(B147)),B147&lt;=0),"Abertura inválida",IF(OR(NOT(ISNUMBER(Listas!$B$18)),Listas!$B$18&lt;=0),"Data da análise inválida",IF(B147&gt;Listas!$B$18,"Abertura após análise",IF(COUNTIFS(Listas!$A$6:$A$9,H147)&lt;&gt;1,"Prioridade inválida",IF(COUNTIFS(Equipe!$A$5:$A$12,I147)&lt;&gt;1,"Responsável inválido",IF(COUNTIFS(Listas!$E$6:$E$11,J147)&lt;&gt;1,"Status inválido",IF(AND(L147&lt;&gt;"",OR(NOT(ISNUMBER(L147)),L147&lt;B147,L147&gt;Listas!$B$18)),"Resposta inválida",IF(AND(O147&lt;&gt;"",OR(NOT(ISNUMBER(O147)),O147&lt;B147,O147&gt;Listas!$B$18)),"Resolução inválida",IF(AND(OR(J147="Fechado",J147="Resolvido"),O147=""),"Conclusão sem resolução",IF(OR(NOT(ISNUMBER(S147)),S147&lt;1,S147&gt;5,IF(ISNUMBER(S147),S147&lt;&gt;INT(S147),FALSE),NOT(ISNUMBER(T147)),T147&lt;1,T147&gt;5,IF(ISNUMBER(T147),T147&lt;&gt;INT(T147),FALSE)),"Impacto ou urgência inválido",""))))))))))))))</x:f>
      </x:c>
      <x:c r="Y147" s="194" t="n">
        <x:f>IF(AND(COUNTA(A147:J147,L147,O147,S147:T147,W147)&gt;0,OR(Listas!$B$20="Todos",I147=Listas!$B$20)),1,0)</x:f>
        <x:v>0</x:v>
      </x:c>
      <x:c r="Z147" s="194" t="n">
        <x:f>IF(AND(Y147=1,X147="",J147&lt;&gt;"Cancelado",NOT(OR(J147="Fechado",J147="Resolvido"))),1,0)</x:f>
        <x:v>0</x:v>
      </x:c>
      <x:c r="AA147" s="194" t="n">
        <x:f>IF(AND(Y147=1,X147="",OR(J147="Fechado",J147="Resolvido")),1,0)</x:f>
        <x:v>0</x:v>
      </x:c>
      <x:c r="AB147" s="194" t="n">
        <x:f>IF(Y147=0,0,IF(X147&lt;&gt;"",1,IF(Z147=0,0,IF(P147="ATRASADO",2,IF(AND(M147="ATRASADO",L147=""),3,IF(V147="ESCALAR",4,IF(V147="REVISAR BACKLOG",5,0)))))))</x:f>
        <x:v>0</x:v>
      </x:c>
      <x:c r="AC147" s="194" t="str">
        <x:f>IF(AB147=0,"",COUNTIFS($AB$5:$AB$204,"&gt;0",$AB$5:$AB$204,"&lt;"&amp;AB147)+COUNTIFS($AB$5:AB147,AB147))</x:f>
      </x:c>
      <x:c r="AD147" s="194" t="n">
        <x:f>IF(AND(A147&lt;&gt;"",X147=""),1,0)</x:f>
        <x:v>0</x:v>
      </x:c>
      <x:c r="AE147" s="194" t="n">
        <x:f>IF(AND(Y147=1,X147&lt;&gt;""),1,0)</x:f>
        <x:v>0</x:v>
      </x:c>
      <x:c r="AF147" s="194" t="n">
        <x:f>IF(L147="",1,0)</x:f>
        <x:v>1</x:v>
      </x:c>
    </x:row>
    <x:row r="148">
      <x:c r="A148" s="28"/>
      <x:c r="B148" s="41"/>
      <x:c r="C148" s="28"/>
      <x:c r="D148" s="28"/>
      <x:c r="E148" s="28"/>
      <x:c r="F148" s="28"/>
      <x:c r="G148" s="28"/>
      <x:c r="H148" s="28"/>
      <x:c r="I148" s="28"/>
      <x:c r="J148" s="28"/>
      <x:c r="K148" s="54" t="str">
        <x:f>IF(OR(A148="",X148&lt;&gt;""),"",B148+INDEX(Listas!$B$6:$B$9,MATCH(H148,Listas!$A$6:$A$9,0))/24)</x:f>
      </x:c>
      <x:c r="L148" s="41"/>
      <x:c r="M148" s="55" t="str">
        <x:f>IF(A148="","",IF(X148&lt;&gt;"","DADO PENDENTE",IF(J148="Cancelado","N.A.",IF(L148&lt;&gt;"",IF(L148&lt;=K148,"ATENDIDO","ATRASADO"),IF(OR(J148="Fechado",J148="Resolvido"),"SEM EVIDÊNCIA",IF(Listas!$B$18&gt;K148,"ATRASADO","PENDENTE"))))))</x:f>
      </x:c>
      <x:c r="N148" s="54" t="str">
        <x:f>IF(OR(A148="",X148&lt;&gt;""),"",B148+INDEX(Listas!$C$6:$C$9,MATCH(H148,Listas!$A$6:$A$9,0))/24)</x:f>
      </x:c>
      <x:c r="O148" s="41"/>
      <x:c r="P148" s="55" t="str">
        <x:f>IF(A148="","",IF(X148&lt;&gt;"","DADO PENDENTE",IF(J148="Cancelado","N.A.",IF(OR(J148="Fechado",J148="Resolvido"),IF(O148&lt;=N148,"ATENDIDO","ATRASADO"),IF(Listas!$B$18&gt;N148,"ATRASADO","PENDENTE")))))</x:f>
      </x:c>
      <x:c r="Q148" s="56" t="str">
        <x:f>IF(OR(A148="",X148&lt;&gt;"",J148="Cancelado"),"",24*IF(OR(J148="Fechado",J148="Resolvido"),O148-B148,Listas!$B$18-B148))</x:f>
      </x:c>
      <x:c r="R148" s="57" t="str">
        <x:f>IF(OR(A148="",X148&lt;&gt;"",J148="Cancelado"),"",INT(IF(OR(J148="Fechado",J148="Resolvido"),O148-B148,Listas!$B$18-B148)))</x:f>
      </x:c>
      <x:c r="S148" s="58"/>
      <x:c r="T148" s="58"/>
      <x:c r="U148" s="57" t="str">
        <x:f>IF(OR(A148="",X148&lt;&gt;"",J148="Cancelado"),"",S148*T148)</x:f>
      </x:c>
      <x:c r="V148" s="55" t="str">
        <x:f>IF(A148="","",IF(X148&lt;&gt;"","CORRIGIR DADOS",IF(J148="Cancelado","CANCELADO",IF(OR(J148="Fechado",J148="Resolvido"),"CONCLUÍDO",IF(OR(P148="ATRASADO",U148&gt;=Listas!$B$16),"ESCALAR",IF(AND(M148="ATRASADO",L148=""),"RESPONDER AGORA",IF(R148&gt;=Listas!$B$14,"REVISAR BACKLOG","ACOMPANHAR")))))))</x:f>
      </x:c>
      <x:c r="W148" s="28"/>
      <x:c r="X148" s="194" t="str">
        <x:f>IF(COUNTA(A148:J148,L148,O148,S148:T148,W148)=0,"",IF(OR(NOT(ISNUMBER(Listas!$B$14)),Listas!$B$14&lt;0,NOT(ISNUMBER(Listas!$B$16)),Listas!$B$16&lt;1,COUNT(Listas!$B$6:$C$9)&lt;&gt;8,MIN(Listas!$B$6:$C$9)&lt;=0),"Parâmetros inválidos",IF(A148="","ID ausente",IF(COUNTIFS($A$5:$A$204,A148)&lt;&gt;1,"ID duplicado",IF(OR(NOT(ISNUMBER(B148)),B148&lt;=0),"Abertura inválida",IF(OR(NOT(ISNUMBER(Listas!$B$18)),Listas!$B$18&lt;=0),"Data da análise inválida",IF(B148&gt;Listas!$B$18,"Abertura após análise",IF(COUNTIFS(Listas!$A$6:$A$9,H148)&lt;&gt;1,"Prioridade inválida",IF(COUNTIFS(Equipe!$A$5:$A$12,I148)&lt;&gt;1,"Responsável inválido",IF(COUNTIFS(Listas!$E$6:$E$11,J148)&lt;&gt;1,"Status inválido",IF(AND(L148&lt;&gt;"",OR(NOT(ISNUMBER(L148)),L148&lt;B148,L148&gt;Listas!$B$18)),"Resposta inválida",IF(AND(O148&lt;&gt;"",OR(NOT(ISNUMBER(O148)),O148&lt;B148,O148&gt;Listas!$B$18)),"Resolução inválida",IF(AND(OR(J148="Fechado",J148="Resolvido"),O148=""),"Conclusão sem resolução",IF(OR(NOT(ISNUMBER(S148)),S148&lt;1,S148&gt;5,IF(ISNUMBER(S148),S148&lt;&gt;INT(S148),FALSE),NOT(ISNUMBER(T148)),T148&lt;1,T148&gt;5,IF(ISNUMBER(T148),T148&lt;&gt;INT(T148),FALSE)),"Impacto ou urgência inválido",""))))))))))))))</x:f>
      </x:c>
      <x:c r="Y148" s="194" t="n">
        <x:f>IF(AND(COUNTA(A148:J148,L148,O148,S148:T148,W148)&gt;0,OR(Listas!$B$20="Todos",I148=Listas!$B$20)),1,0)</x:f>
        <x:v>0</x:v>
      </x:c>
      <x:c r="Z148" s="194" t="n">
        <x:f>IF(AND(Y148=1,X148="",J148&lt;&gt;"Cancelado",NOT(OR(J148="Fechado",J148="Resolvido"))),1,0)</x:f>
        <x:v>0</x:v>
      </x:c>
      <x:c r="AA148" s="194" t="n">
        <x:f>IF(AND(Y148=1,X148="",OR(J148="Fechado",J148="Resolvido")),1,0)</x:f>
        <x:v>0</x:v>
      </x:c>
      <x:c r="AB148" s="194" t="n">
        <x:f>IF(Y148=0,0,IF(X148&lt;&gt;"",1,IF(Z148=0,0,IF(P148="ATRASADO",2,IF(AND(M148="ATRASADO",L148=""),3,IF(V148="ESCALAR",4,IF(V148="REVISAR BACKLOG",5,0)))))))</x:f>
        <x:v>0</x:v>
      </x:c>
      <x:c r="AC148" s="194" t="str">
        <x:f>IF(AB148=0,"",COUNTIFS($AB$5:$AB$204,"&gt;0",$AB$5:$AB$204,"&lt;"&amp;AB148)+COUNTIFS($AB$5:AB148,AB148))</x:f>
      </x:c>
      <x:c r="AD148" s="194" t="n">
        <x:f>IF(AND(A148&lt;&gt;"",X148=""),1,0)</x:f>
        <x:v>0</x:v>
      </x:c>
      <x:c r="AE148" s="194" t="n">
        <x:f>IF(AND(Y148=1,X148&lt;&gt;""),1,0)</x:f>
        <x:v>0</x:v>
      </x:c>
      <x:c r="AF148" s="194" t="n">
        <x:f>IF(L148="",1,0)</x:f>
        <x:v>1</x:v>
      </x:c>
    </x:row>
    <x:row r="149">
      <x:c r="A149" s="28"/>
      <x:c r="B149" s="41"/>
      <x:c r="C149" s="28"/>
      <x:c r="D149" s="28"/>
      <x:c r="E149" s="28"/>
      <x:c r="F149" s="28"/>
      <x:c r="G149" s="28"/>
      <x:c r="H149" s="28"/>
      <x:c r="I149" s="28"/>
      <x:c r="J149" s="28"/>
      <x:c r="K149" s="54" t="str">
        <x:f>IF(OR(A149="",X149&lt;&gt;""),"",B149+INDEX(Listas!$B$6:$B$9,MATCH(H149,Listas!$A$6:$A$9,0))/24)</x:f>
      </x:c>
      <x:c r="L149" s="41"/>
      <x:c r="M149" s="55" t="str">
        <x:f>IF(A149="","",IF(X149&lt;&gt;"","DADO PENDENTE",IF(J149="Cancelado","N.A.",IF(L149&lt;&gt;"",IF(L149&lt;=K149,"ATENDIDO","ATRASADO"),IF(OR(J149="Fechado",J149="Resolvido"),"SEM EVIDÊNCIA",IF(Listas!$B$18&gt;K149,"ATRASADO","PENDENTE"))))))</x:f>
      </x:c>
      <x:c r="N149" s="54" t="str">
        <x:f>IF(OR(A149="",X149&lt;&gt;""),"",B149+INDEX(Listas!$C$6:$C$9,MATCH(H149,Listas!$A$6:$A$9,0))/24)</x:f>
      </x:c>
      <x:c r="O149" s="41"/>
      <x:c r="P149" s="55" t="str">
        <x:f>IF(A149="","",IF(X149&lt;&gt;"","DADO PENDENTE",IF(J149="Cancelado","N.A.",IF(OR(J149="Fechado",J149="Resolvido"),IF(O149&lt;=N149,"ATENDIDO","ATRASADO"),IF(Listas!$B$18&gt;N149,"ATRASADO","PENDENTE")))))</x:f>
      </x:c>
      <x:c r="Q149" s="56" t="str">
        <x:f>IF(OR(A149="",X149&lt;&gt;"",J149="Cancelado"),"",24*IF(OR(J149="Fechado",J149="Resolvido"),O149-B149,Listas!$B$18-B149))</x:f>
      </x:c>
      <x:c r="R149" s="57" t="str">
        <x:f>IF(OR(A149="",X149&lt;&gt;"",J149="Cancelado"),"",INT(IF(OR(J149="Fechado",J149="Resolvido"),O149-B149,Listas!$B$18-B149)))</x:f>
      </x:c>
      <x:c r="S149" s="58"/>
      <x:c r="T149" s="58"/>
      <x:c r="U149" s="57" t="str">
        <x:f>IF(OR(A149="",X149&lt;&gt;"",J149="Cancelado"),"",S149*T149)</x:f>
      </x:c>
      <x:c r="V149" s="55" t="str">
        <x:f>IF(A149="","",IF(X149&lt;&gt;"","CORRIGIR DADOS",IF(J149="Cancelado","CANCELADO",IF(OR(J149="Fechado",J149="Resolvido"),"CONCLUÍDO",IF(OR(P149="ATRASADO",U149&gt;=Listas!$B$16),"ESCALAR",IF(AND(M149="ATRASADO",L149=""),"RESPONDER AGORA",IF(R149&gt;=Listas!$B$14,"REVISAR BACKLOG","ACOMPANHAR")))))))</x:f>
      </x:c>
      <x:c r="W149" s="28"/>
      <x:c r="X149" s="194" t="str">
        <x:f>IF(COUNTA(A149:J149,L149,O149,S149:T149,W149)=0,"",IF(OR(NOT(ISNUMBER(Listas!$B$14)),Listas!$B$14&lt;0,NOT(ISNUMBER(Listas!$B$16)),Listas!$B$16&lt;1,COUNT(Listas!$B$6:$C$9)&lt;&gt;8,MIN(Listas!$B$6:$C$9)&lt;=0),"Parâmetros inválidos",IF(A149="","ID ausente",IF(COUNTIFS($A$5:$A$204,A149)&lt;&gt;1,"ID duplicado",IF(OR(NOT(ISNUMBER(B149)),B149&lt;=0),"Abertura inválida",IF(OR(NOT(ISNUMBER(Listas!$B$18)),Listas!$B$18&lt;=0),"Data da análise inválida",IF(B149&gt;Listas!$B$18,"Abertura após análise",IF(COUNTIFS(Listas!$A$6:$A$9,H149)&lt;&gt;1,"Prioridade inválida",IF(COUNTIFS(Equipe!$A$5:$A$12,I149)&lt;&gt;1,"Responsável inválido",IF(COUNTIFS(Listas!$E$6:$E$11,J149)&lt;&gt;1,"Status inválido",IF(AND(L149&lt;&gt;"",OR(NOT(ISNUMBER(L149)),L149&lt;B149,L149&gt;Listas!$B$18)),"Resposta inválida",IF(AND(O149&lt;&gt;"",OR(NOT(ISNUMBER(O149)),O149&lt;B149,O149&gt;Listas!$B$18)),"Resolução inválida",IF(AND(OR(J149="Fechado",J149="Resolvido"),O149=""),"Conclusão sem resolução",IF(OR(NOT(ISNUMBER(S149)),S149&lt;1,S149&gt;5,IF(ISNUMBER(S149),S149&lt;&gt;INT(S149),FALSE),NOT(ISNUMBER(T149)),T149&lt;1,T149&gt;5,IF(ISNUMBER(T149),T149&lt;&gt;INT(T149),FALSE)),"Impacto ou urgência inválido",""))))))))))))))</x:f>
      </x:c>
      <x:c r="Y149" s="194" t="n">
        <x:f>IF(AND(COUNTA(A149:J149,L149,O149,S149:T149,W149)&gt;0,OR(Listas!$B$20="Todos",I149=Listas!$B$20)),1,0)</x:f>
        <x:v>0</x:v>
      </x:c>
      <x:c r="Z149" s="194" t="n">
        <x:f>IF(AND(Y149=1,X149="",J149&lt;&gt;"Cancelado",NOT(OR(J149="Fechado",J149="Resolvido"))),1,0)</x:f>
        <x:v>0</x:v>
      </x:c>
      <x:c r="AA149" s="194" t="n">
        <x:f>IF(AND(Y149=1,X149="",OR(J149="Fechado",J149="Resolvido")),1,0)</x:f>
        <x:v>0</x:v>
      </x:c>
      <x:c r="AB149" s="194" t="n">
        <x:f>IF(Y149=0,0,IF(X149&lt;&gt;"",1,IF(Z149=0,0,IF(P149="ATRASADO",2,IF(AND(M149="ATRASADO",L149=""),3,IF(V149="ESCALAR",4,IF(V149="REVISAR BACKLOG",5,0)))))))</x:f>
        <x:v>0</x:v>
      </x:c>
      <x:c r="AC149" s="194" t="str">
        <x:f>IF(AB149=0,"",COUNTIFS($AB$5:$AB$204,"&gt;0",$AB$5:$AB$204,"&lt;"&amp;AB149)+COUNTIFS($AB$5:AB149,AB149))</x:f>
      </x:c>
      <x:c r="AD149" s="194" t="n">
        <x:f>IF(AND(A149&lt;&gt;"",X149=""),1,0)</x:f>
        <x:v>0</x:v>
      </x:c>
      <x:c r="AE149" s="194" t="n">
        <x:f>IF(AND(Y149=1,X149&lt;&gt;""),1,0)</x:f>
        <x:v>0</x:v>
      </x:c>
      <x:c r="AF149" s="194" t="n">
        <x:f>IF(L149="",1,0)</x:f>
        <x:v>1</x:v>
      </x:c>
    </x:row>
    <x:row r="150">
      <x:c r="A150" s="28"/>
      <x:c r="B150" s="41"/>
      <x:c r="C150" s="28"/>
      <x:c r="D150" s="28"/>
      <x:c r="E150" s="28"/>
      <x:c r="F150" s="28"/>
      <x:c r="G150" s="28"/>
      <x:c r="H150" s="28"/>
      <x:c r="I150" s="28"/>
      <x:c r="J150" s="28"/>
      <x:c r="K150" s="54" t="str">
        <x:f>IF(OR(A150="",X150&lt;&gt;""),"",B150+INDEX(Listas!$B$6:$B$9,MATCH(H150,Listas!$A$6:$A$9,0))/24)</x:f>
      </x:c>
      <x:c r="L150" s="41"/>
      <x:c r="M150" s="55" t="str">
        <x:f>IF(A150="","",IF(X150&lt;&gt;"","DADO PENDENTE",IF(J150="Cancelado","N.A.",IF(L150&lt;&gt;"",IF(L150&lt;=K150,"ATENDIDO","ATRASADO"),IF(OR(J150="Fechado",J150="Resolvido"),"SEM EVIDÊNCIA",IF(Listas!$B$18&gt;K150,"ATRASADO","PENDENTE"))))))</x:f>
      </x:c>
      <x:c r="N150" s="54" t="str">
        <x:f>IF(OR(A150="",X150&lt;&gt;""),"",B150+INDEX(Listas!$C$6:$C$9,MATCH(H150,Listas!$A$6:$A$9,0))/24)</x:f>
      </x:c>
      <x:c r="O150" s="41"/>
      <x:c r="P150" s="55" t="str">
        <x:f>IF(A150="","",IF(X150&lt;&gt;"","DADO PENDENTE",IF(J150="Cancelado","N.A.",IF(OR(J150="Fechado",J150="Resolvido"),IF(O150&lt;=N150,"ATENDIDO","ATRASADO"),IF(Listas!$B$18&gt;N150,"ATRASADO","PENDENTE")))))</x:f>
      </x:c>
      <x:c r="Q150" s="56" t="str">
        <x:f>IF(OR(A150="",X150&lt;&gt;"",J150="Cancelado"),"",24*IF(OR(J150="Fechado",J150="Resolvido"),O150-B150,Listas!$B$18-B150))</x:f>
      </x:c>
      <x:c r="R150" s="57" t="str">
        <x:f>IF(OR(A150="",X150&lt;&gt;"",J150="Cancelado"),"",INT(IF(OR(J150="Fechado",J150="Resolvido"),O150-B150,Listas!$B$18-B150)))</x:f>
      </x:c>
      <x:c r="S150" s="58"/>
      <x:c r="T150" s="58"/>
      <x:c r="U150" s="57" t="str">
        <x:f>IF(OR(A150="",X150&lt;&gt;"",J150="Cancelado"),"",S150*T150)</x:f>
      </x:c>
      <x:c r="V150" s="55" t="str">
        <x:f>IF(A150="","",IF(X150&lt;&gt;"","CORRIGIR DADOS",IF(J150="Cancelado","CANCELADO",IF(OR(J150="Fechado",J150="Resolvido"),"CONCLUÍDO",IF(OR(P150="ATRASADO",U150&gt;=Listas!$B$16),"ESCALAR",IF(AND(M150="ATRASADO",L150=""),"RESPONDER AGORA",IF(R150&gt;=Listas!$B$14,"REVISAR BACKLOG","ACOMPANHAR")))))))</x:f>
      </x:c>
      <x:c r="W150" s="28"/>
      <x:c r="X150" s="194" t="str">
        <x:f>IF(COUNTA(A150:J150,L150,O150,S150:T150,W150)=0,"",IF(OR(NOT(ISNUMBER(Listas!$B$14)),Listas!$B$14&lt;0,NOT(ISNUMBER(Listas!$B$16)),Listas!$B$16&lt;1,COUNT(Listas!$B$6:$C$9)&lt;&gt;8,MIN(Listas!$B$6:$C$9)&lt;=0),"Parâmetros inválidos",IF(A150="","ID ausente",IF(COUNTIFS($A$5:$A$204,A150)&lt;&gt;1,"ID duplicado",IF(OR(NOT(ISNUMBER(B150)),B150&lt;=0),"Abertura inválida",IF(OR(NOT(ISNUMBER(Listas!$B$18)),Listas!$B$18&lt;=0),"Data da análise inválida",IF(B150&gt;Listas!$B$18,"Abertura após análise",IF(COUNTIFS(Listas!$A$6:$A$9,H150)&lt;&gt;1,"Prioridade inválida",IF(COUNTIFS(Equipe!$A$5:$A$12,I150)&lt;&gt;1,"Responsável inválido",IF(COUNTIFS(Listas!$E$6:$E$11,J150)&lt;&gt;1,"Status inválido",IF(AND(L150&lt;&gt;"",OR(NOT(ISNUMBER(L150)),L150&lt;B150,L150&gt;Listas!$B$18)),"Resposta inválida",IF(AND(O150&lt;&gt;"",OR(NOT(ISNUMBER(O150)),O150&lt;B150,O150&gt;Listas!$B$18)),"Resolução inválida",IF(AND(OR(J150="Fechado",J150="Resolvido"),O150=""),"Conclusão sem resolução",IF(OR(NOT(ISNUMBER(S150)),S150&lt;1,S150&gt;5,IF(ISNUMBER(S150),S150&lt;&gt;INT(S150),FALSE),NOT(ISNUMBER(T150)),T150&lt;1,T150&gt;5,IF(ISNUMBER(T150),T150&lt;&gt;INT(T150),FALSE)),"Impacto ou urgência inválido",""))))))))))))))</x:f>
      </x:c>
      <x:c r="Y150" s="194" t="n">
        <x:f>IF(AND(COUNTA(A150:J150,L150,O150,S150:T150,W150)&gt;0,OR(Listas!$B$20="Todos",I150=Listas!$B$20)),1,0)</x:f>
        <x:v>0</x:v>
      </x:c>
      <x:c r="Z150" s="194" t="n">
        <x:f>IF(AND(Y150=1,X150="",J150&lt;&gt;"Cancelado",NOT(OR(J150="Fechado",J150="Resolvido"))),1,0)</x:f>
        <x:v>0</x:v>
      </x:c>
      <x:c r="AA150" s="194" t="n">
        <x:f>IF(AND(Y150=1,X150="",OR(J150="Fechado",J150="Resolvido")),1,0)</x:f>
        <x:v>0</x:v>
      </x:c>
      <x:c r="AB150" s="194" t="n">
        <x:f>IF(Y150=0,0,IF(X150&lt;&gt;"",1,IF(Z150=0,0,IF(P150="ATRASADO",2,IF(AND(M150="ATRASADO",L150=""),3,IF(V150="ESCALAR",4,IF(V150="REVISAR BACKLOG",5,0)))))))</x:f>
        <x:v>0</x:v>
      </x:c>
      <x:c r="AC150" s="194" t="str">
        <x:f>IF(AB150=0,"",COUNTIFS($AB$5:$AB$204,"&gt;0",$AB$5:$AB$204,"&lt;"&amp;AB150)+COUNTIFS($AB$5:AB150,AB150))</x:f>
      </x:c>
      <x:c r="AD150" s="194" t="n">
        <x:f>IF(AND(A150&lt;&gt;"",X150=""),1,0)</x:f>
        <x:v>0</x:v>
      </x:c>
      <x:c r="AE150" s="194" t="n">
        <x:f>IF(AND(Y150=1,X150&lt;&gt;""),1,0)</x:f>
        <x:v>0</x:v>
      </x:c>
      <x:c r="AF150" s="194" t="n">
        <x:f>IF(L150="",1,0)</x:f>
        <x:v>1</x:v>
      </x:c>
    </x:row>
    <x:row r="151">
      <x:c r="A151" s="28"/>
      <x:c r="B151" s="41"/>
      <x:c r="C151" s="28"/>
      <x:c r="D151" s="28"/>
      <x:c r="E151" s="28"/>
      <x:c r="F151" s="28"/>
      <x:c r="G151" s="28"/>
      <x:c r="H151" s="28"/>
      <x:c r="I151" s="28"/>
      <x:c r="J151" s="28"/>
      <x:c r="K151" s="54" t="str">
        <x:f>IF(OR(A151="",X151&lt;&gt;""),"",B151+INDEX(Listas!$B$6:$B$9,MATCH(H151,Listas!$A$6:$A$9,0))/24)</x:f>
      </x:c>
      <x:c r="L151" s="41"/>
      <x:c r="M151" s="55" t="str">
        <x:f>IF(A151="","",IF(X151&lt;&gt;"","DADO PENDENTE",IF(J151="Cancelado","N.A.",IF(L151&lt;&gt;"",IF(L151&lt;=K151,"ATENDIDO","ATRASADO"),IF(OR(J151="Fechado",J151="Resolvido"),"SEM EVIDÊNCIA",IF(Listas!$B$18&gt;K151,"ATRASADO","PENDENTE"))))))</x:f>
      </x:c>
      <x:c r="N151" s="54" t="str">
        <x:f>IF(OR(A151="",X151&lt;&gt;""),"",B151+INDEX(Listas!$C$6:$C$9,MATCH(H151,Listas!$A$6:$A$9,0))/24)</x:f>
      </x:c>
      <x:c r="O151" s="41"/>
      <x:c r="P151" s="55" t="str">
        <x:f>IF(A151="","",IF(X151&lt;&gt;"","DADO PENDENTE",IF(J151="Cancelado","N.A.",IF(OR(J151="Fechado",J151="Resolvido"),IF(O151&lt;=N151,"ATENDIDO","ATRASADO"),IF(Listas!$B$18&gt;N151,"ATRASADO","PENDENTE")))))</x:f>
      </x:c>
      <x:c r="Q151" s="56" t="str">
        <x:f>IF(OR(A151="",X151&lt;&gt;"",J151="Cancelado"),"",24*IF(OR(J151="Fechado",J151="Resolvido"),O151-B151,Listas!$B$18-B151))</x:f>
      </x:c>
      <x:c r="R151" s="57" t="str">
        <x:f>IF(OR(A151="",X151&lt;&gt;"",J151="Cancelado"),"",INT(IF(OR(J151="Fechado",J151="Resolvido"),O151-B151,Listas!$B$18-B151)))</x:f>
      </x:c>
      <x:c r="S151" s="58"/>
      <x:c r="T151" s="58"/>
      <x:c r="U151" s="57" t="str">
        <x:f>IF(OR(A151="",X151&lt;&gt;"",J151="Cancelado"),"",S151*T151)</x:f>
      </x:c>
      <x:c r="V151" s="55" t="str">
        <x:f>IF(A151="","",IF(X151&lt;&gt;"","CORRIGIR DADOS",IF(J151="Cancelado","CANCELADO",IF(OR(J151="Fechado",J151="Resolvido"),"CONCLUÍDO",IF(OR(P151="ATRASADO",U151&gt;=Listas!$B$16),"ESCALAR",IF(AND(M151="ATRASADO",L151=""),"RESPONDER AGORA",IF(R151&gt;=Listas!$B$14,"REVISAR BACKLOG","ACOMPANHAR")))))))</x:f>
      </x:c>
      <x:c r="W151" s="28"/>
      <x:c r="X151" s="194" t="str">
        <x:f>IF(COUNTA(A151:J151,L151,O151,S151:T151,W151)=0,"",IF(OR(NOT(ISNUMBER(Listas!$B$14)),Listas!$B$14&lt;0,NOT(ISNUMBER(Listas!$B$16)),Listas!$B$16&lt;1,COUNT(Listas!$B$6:$C$9)&lt;&gt;8,MIN(Listas!$B$6:$C$9)&lt;=0),"Parâmetros inválidos",IF(A151="","ID ausente",IF(COUNTIFS($A$5:$A$204,A151)&lt;&gt;1,"ID duplicado",IF(OR(NOT(ISNUMBER(B151)),B151&lt;=0),"Abertura inválida",IF(OR(NOT(ISNUMBER(Listas!$B$18)),Listas!$B$18&lt;=0),"Data da análise inválida",IF(B151&gt;Listas!$B$18,"Abertura após análise",IF(COUNTIFS(Listas!$A$6:$A$9,H151)&lt;&gt;1,"Prioridade inválida",IF(COUNTIFS(Equipe!$A$5:$A$12,I151)&lt;&gt;1,"Responsável inválido",IF(COUNTIFS(Listas!$E$6:$E$11,J151)&lt;&gt;1,"Status inválido",IF(AND(L151&lt;&gt;"",OR(NOT(ISNUMBER(L151)),L151&lt;B151,L151&gt;Listas!$B$18)),"Resposta inválida",IF(AND(O151&lt;&gt;"",OR(NOT(ISNUMBER(O151)),O151&lt;B151,O151&gt;Listas!$B$18)),"Resolução inválida",IF(AND(OR(J151="Fechado",J151="Resolvido"),O151=""),"Conclusão sem resolução",IF(OR(NOT(ISNUMBER(S151)),S151&lt;1,S151&gt;5,IF(ISNUMBER(S151),S151&lt;&gt;INT(S151),FALSE),NOT(ISNUMBER(T151)),T151&lt;1,T151&gt;5,IF(ISNUMBER(T151),T151&lt;&gt;INT(T151),FALSE)),"Impacto ou urgência inválido",""))))))))))))))</x:f>
      </x:c>
      <x:c r="Y151" s="194" t="n">
        <x:f>IF(AND(COUNTA(A151:J151,L151,O151,S151:T151,W151)&gt;0,OR(Listas!$B$20="Todos",I151=Listas!$B$20)),1,0)</x:f>
        <x:v>0</x:v>
      </x:c>
      <x:c r="Z151" s="194" t="n">
        <x:f>IF(AND(Y151=1,X151="",J151&lt;&gt;"Cancelado",NOT(OR(J151="Fechado",J151="Resolvido"))),1,0)</x:f>
        <x:v>0</x:v>
      </x:c>
      <x:c r="AA151" s="194" t="n">
        <x:f>IF(AND(Y151=1,X151="",OR(J151="Fechado",J151="Resolvido")),1,0)</x:f>
        <x:v>0</x:v>
      </x:c>
      <x:c r="AB151" s="194" t="n">
        <x:f>IF(Y151=0,0,IF(X151&lt;&gt;"",1,IF(Z151=0,0,IF(P151="ATRASADO",2,IF(AND(M151="ATRASADO",L151=""),3,IF(V151="ESCALAR",4,IF(V151="REVISAR BACKLOG",5,0)))))))</x:f>
        <x:v>0</x:v>
      </x:c>
      <x:c r="AC151" s="194" t="str">
        <x:f>IF(AB151=0,"",COUNTIFS($AB$5:$AB$204,"&gt;0",$AB$5:$AB$204,"&lt;"&amp;AB151)+COUNTIFS($AB$5:AB151,AB151))</x:f>
      </x:c>
      <x:c r="AD151" s="194" t="n">
        <x:f>IF(AND(A151&lt;&gt;"",X151=""),1,0)</x:f>
        <x:v>0</x:v>
      </x:c>
      <x:c r="AE151" s="194" t="n">
        <x:f>IF(AND(Y151=1,X151&lt;&gt;""),1,0)</x:f>
        <x:v>0</x:v>
      </x:c>
      <x:c r="AF151" s="194" t="n">
        <x:f>IF(L151="",1,0)</x:f>
        <x:v>1</x:v>
      </x:c>
    </x:row>
    <x:row r="152">
      <x:c r="A152" s="28"/>
      <x:c r="B152" s="41"/>
      <x:c r="C152" s="28"/>
      <x:c r="D152" s="28"/>
      <x:c r="E152" s="28"/>
      <x:c r="F152" s="28"/>
      <x:c r="G152" s="28"/>
      <x:c r="H152" s="28"/>
      <x:c r="I152" s="28"/>
      <x:c r="J152" s="28"/>
      <x:c r="K152" s="54" t="str">
        <x:f>IF(OR(A152="",X152&lt;&gt;""),"",B152+INDEX(Listas!$B$6:$B$9,MATCH(H152,Listas!$A$6:$A$9,0))/24)</x:f>
      </x:c>
      <x:c r="L152" s="41"/>
      <x:c r="M152" s="55" t="str">
        <x:f>IF(A152="","",IF(X152&lt;&gt;"","DADO PENDENTE",IF(J152="Cancelado","N.A.",IF(L152&lt;&gt;"",IF(L152&lt;=K152,"ATENDIDO","ATRASADO"),IF(OR(J152="Fechado",J152="Resolvido"),"SEM EVIDÊNCIA",IF(Listas!$B$18&gt;K152,"ATRASADO","PENDENTE"))))))</x:f>
      </x:c>
      <x:c r="N152" s="54" t="str">
        <x:f>IF(OR(A152="",X152&lt;&gt;""),"",B152+INDEX(Listas!$C$6:$C$9,MATCH(H152,Listas!$A$6:$A$9,0))/24)</x:f>
      </x:c>
      <x:c r="O152" s="41"/>
      <x:c r="P152" s="55" t="str">
        <x:f>IF(A152="","",IF(X152&lt;&gt;"","DADO PENDENTE",IF(J152="Cancelado","N.A.",IF(OR(J152="Fechado",J152="Resolvido"),IF(O152&lt;=N152,"ATENDIDO","ATRASADO"),IF(Listas!$B$18&gt;N152,"ATRASADO","PENDENTE")))))</x:f>
      </x:c>
      <x:c r="Q152" s="56" t="str">
        <x:f>IF(OR(A152="",X152&lt;&gt;"",J152="Cancelado"),"",24*IF(OR(J152="Fechado",J152="Resolvido"),O152-B152,Listas!$B$18-B152))</x:f>
      </x:c>
      <x:c r="R152" s="57" t="str">
        <x:f>IF(OR(A152="",X152&lt;&gt;"",J152="Cancelado"),"",INT(IF(OR(J152="Fechado",J152="Resolvido"),O152-B152,Listas!$B$18-B152)))</x:f>
      </x:c>
      <x:c r="S152" s="58"/>
      <x:c r="T152" s="58"/>
      <x:c r="U152" s="57" t="str">
        <x:f>IF(OR(A152="",X152&lt;&gt;"",J152="Cancelado"),"",S152*T152)</x:f>
      </x:c>
      <x:c r="V152" s="55" t="str">
        <x:f>IF(A152="","",IF(X152&lt;&gt;"","CORRIGIR DADOS",IF(J152="Cancelado","CANCELADO",IF(OR(J152="Fechado",J152="Resolvido"),"CONCLUÍDO",IF(OR(P152="ATRASADO",U152&gt;=Listas!$B$16),"ESCALAR",IF(AND(M152="ATRASADO",L152=""),"RESPONDER AGORA",IF(R152&gt;=Listas!$B$14,"REVISAR BACKLOG","ACOMPANHAR")))))))</x:f>
      </x:c>
      <x:c r="W152" s="28"/>
      <x:c r="X152" s="194" t="str">
        <x:f>IF(COUNTA(A152:J152,L152,O152,S152:T152,W152)=0,"",IF(OR(NOT(ISNUMBER(Listas!$B$14)),Listas!$B$14&lt;0,NOT(ISNUMBER(Listas!$B$16)),Listas!$B$16&lt;1,COUNT(Listas!$B$6:$C$9)&lt;&gt;8,MIN(Listas!$B$6:$C$9)&lt;=0),"Parâmetros inválidos",IF(A152="","ID ausente",IF(COUNTIFS($A$5:$A$204,A152)&lt;&gt;1,"ID duplicado",IF(OR(NOT(ISNUMBER(B152)),B152&lt;=0),"Abertura inválida",IF(OR(NOT(ISNUMBER(Listas!$B$18)),Listas!$B$18&lt;=0),"Data da análise inválida",IF(B152&gt;Listas!$B$18,"Abertura após análise",IF(COUNTIFS(Listas!$A$6:$A$9,H152)&lt;&gt;1,"Prioridade inválida",IF(COUNTIFS(Equipe!$A$5:$A$12,I152)&lt;&gt;1,"Responsável inválido",IF(COUNTIFS(Listas!$E$6:$E$11,J152)&lt;&gt;1,"Status inválido",IF(AND(L152&lt;&gt;"",OR(NOT(ISNUMBER(L152)),L152&lt;B152,L152&gt;Listas!$B$18)),"Resposta inválida",IF(AND(O152&lt;&gt;"",OR(NOT(ISNUMBER(O152)),O152&lt;B152,O152&gt;Listas!$B$18)),"Resolução inválida",IF(AND(OR(J152="Fechado",J152="Resolvido"),O152=""),"Conclusão sem resolução",IF(OR(NOT(ISNUMBER(S152)),S152&lt;1,S152&gt;5,IF(ISNUMBER(S152),S152&lt;&gt;INT(S152),FALSE),NOT(ISNUMBER(T152)),T152&lt;1,T152&gt;5,IF(ISNUMBER(T152),T152&lt;&gt;INT(T152),FALSE)),"Impacto ou urgência inválido",""))))))))))))))</x:f>
      </x:c>
      <x:c r="Y152" s="194" t="n">
        <x:f>IF(AND(COUNTA(A152:J152,L152,O152,S152:T152,W152)&gt;0,OR(Listas!$B$20="Todos",I152=Listas!$B$20)),1,0)</x:f>
        <x:v>0</x:v>
      </x:c>
      <x:c r="Z152" s="194" t="n">
        <x:f>IF(AND(Y152=1,X152="",J152&lt;&gt;"Cancelado",NOT(OR(J152="Fechado",J152="Resolvido"))),1,0)</x:f>
        <x:v>0</x:v>
      </x:c>
      <x:c r="AA152" s="194" t="n">
        <x:f>IF(AND(Y152=1,X152="",OR(J152="Fechado",J152="Resolvido")),1,0)</x:f>
        <x:v>0</x:v>
      </x:c>
      <x:c r="AB152" s="194" t="n">
        <x:f>IF(Y152=0,0,IF(X152&lt;&gt;"",1,IF(Z152=0,0,IF(P152="ATRASADO",2,IF(AND(M152="ATRASADO",L152=""),3,IF(V152="ESCALAR",4,IF(V152="REVISAR BACKLOG",5,0)))))))</x:f>
        <x:v>0</x:v>
      </x:c>
      <x:c r="AC152" s="194" t="str">
        <x:f>IF(AB152=0,"",COUNTIFS($AB$5:$AB$204,"&gt;0",$AB$5:$AB$204,"&lt;"&amp;AB152)+COUNTIFS($AB$5:AB152,AB152))</x:f>
      </x:c>
      <x:c r="AD152" s="194" t="n">
        <x:f>IF(AND(A152&lt;&gt;"",X152=""),1,0)</x:f>
        <x:v>0</x:v>
      </x:c>
      <x:c r="AE152" s="194" t="n">
        <x:f>IF(AND(Y152=1,X152&lt;&gt;""),1,0)</x:f>
        <x:v>0</x:v>
      </x:c>
      <x:c r="AF152" s="194" t="n">
        <x:f>IF(L152="",1,0)</x:f>
        <x:v>1</x:v>
      </x:c>
    </x:row>
    <x:row r="153">
      <x:c r="A153" s="28"/>
      <x:c r="B153" s="41"/>
      <x:c r="C153" s="28"/>
      <x:c r="D153" s="28"/>
      <x:c r="E153" s="28"/>
      <x:c r="F153" s="28"/>
      <x:c r="G153" s="28"/>
      <x:c r="H153" s="28"/>
      <x:c r="I153" s="28"/>
      <x:c r="J153" s="28"/>
      <x:c r="K153" s="54" t="str">
        <x:f>IF(OR(A153="",X153&lt;&gt;""),"",B153+INDEX(Listas!$B$6:$B$9,MATCH(H153,Listas!$A$6:$A$9,0))/24)</x:f>
      </x:c>
      <x:c r="L153" s="41"/>
      <x:c r="M153" s="55" t="str">
        <x:f>IF(A153="","",IF(X153&lt;&gt;"","DADO PENDENTE",IF(J153="Cancelado","N.A.",IF(L153&lt;&gt;"",IF(L153&lt;=K153,"ATENDIDO","ATRASADO"),IF(OR(J153="Fechado",J153="Resolvido"),"SEM EVIDÊNCIA",IF(Listas!$B$18&gt;K153,"ATRASADO","PENDENTE"))))))</x:f>
      </x:c>
      <x:c r="N153" s="54" t="str">
        <x:f>IF(OR(A153="",X153&lt;&gt;""),"",B153+INDEX(Listas!$C$6:$C$9,MATCH(H153,Listas!$A$6:$A$9,0))/24)</x:f>
      </x:c>
      <x:c r="O153" s="41"/>
      <x:c r="P153" s="55" t="str">
        <x:f>IF(A153="","",IF(X153&lt;&gt;"","DADO PENDENTE",IF(J153="Cancelado","N.A.",IF(OR(J153="Fechado",J153="Resolvido"),IF(O153&lt;=N153,"ATENDIDO","ATRASADO"),IF(Listas!$B$18&gt;N153,"ATRASADO","PENDENTE")))))</x:f>
      </x:c>
      <x:c r="Q153" s="56" t="str">
        <x:f>IF(OR(A153="",X153&lt;&gt;"",J153="Cancelado"),"",24*IF(OR(J153="Fechado",J153="Resolvido"),O153-B153,Listas!$B$18-B153))</x:f>
      </x:c>
      <x:c r="R153" s="57" t="str">
        <x:f>IF(OR(A153="",X153&lt;&gt;"",J153="Cancelado"),"",INT(IF(OR(J153="Fechado",J153="Resolvido"),O153-B153,Listas!$B$18-B153)))</x:f>
      </x:c>
      <x:c r="S153" s="58"/>
      <x:c r="T153" s="58"/>
      <x:c r="U153" s="57" t="str">
        <x:f>IF(OR(A153="",X153&lt;&gt;"",J153="Cancelado"),"",S153*T153)</x:f>
      </x:c>
      <x:c r="V153" s="55" t="str">
        <x:f>IF(A153="","",IF(X153&lt;&gt;"","CORRIGIR DADOS",IF(J153="Cancelado","CANCELADO",IF(OR(J153="Fechado",J153="Resolvido"),"CONCLUÍDO",IF(OR(P153="ATRASADO",U153&gt;=Listas!$B$16),"ESCALAR",IF(AND(M153="ATRASADO",L153=""),"RESPONDER AGORA",IF(R153&gt;=Listas!$B$14,"REVISAR BACKLOG","ACOMPANHAR")))))))</x:f>
      </x:c>
      <x:c r="W153" s="28"/>
      <x:c r="X153" s="194" t="str">
        <x:f>IF(COUNTA(A153:J153,L153,O153,S153:T153,W153)=0,"",IF(OR(NOT(ISNUMBER(Listas!$B$14)),Listas!$B$14&lt;0,NOT(ISNUMBER(Listas!$B$16)),Listas!$B$16&lt;1,COUNT(Listas!$B$6:$C$9)&lt;&gt;8,MIN(Listas!$B$6:$C$9)&lt;=0),"Parâmetros inválidos",IF(A153="","ID ausente",IF(COUNTIFS($A$5:$A$204,A153)&lt;&gt;1,"ID duplicado",IF(OR(NOT(ISNUMBER(B153)),B153&lt;=0),"Abertura inválida",IF(OR(NOT(ISNUMBER(Listas!$B$18)),Listas!$B$18&lt;=0),"Data da análise inválida",IF(B153&gt;Listas!$B$18,"Abertura após análise",IF(COUNTIFS(Listas!$A$6:$A$9,H153)&lt;&gt;1,"Prioridade inválida",IF(COUNTIFS(Equipe!$A$5:$A$12,I153)&lt;&gt;1,"Responsável inválido",IF(COUNTIFS(Listas!$E$6:$E$11,J153)&lt;&gt;1,"Status inválido",IF(AND(L153&lt;&gt;"",OR(NOT(ISNUMBER(L153)),L153&lt;B153,L153&gt;Listas!$B$18)),"Resposta inválida",IF(AND(O153&lt;&gt;"",OR(NOT(ISNUMBER(O153)),O153&lt;B153,O153&gt;Listas!$B$18)),"Resolução inválida",IF(AND(OR(J153="Fechado",J153="Resolvido"),O153=""),"Conclusão sem resolução",IF(OR(NOT(ISNUMBER(S153)),S153&lt;1,S153&gt;5,IF(ISNUMBER(S153),S153&lt;&gt;INT(S153),FALSE),NOT(ISNUMBER(T153)),T153&lt;1,T153&gt;5,IF(ISNUMBER(T153),T153&lt;&gt;INT(T153),FALSE)),"Impacto ou urgência inválido",""))))))))))))))</x:f>
      </x:c>
      <x:c r="Y153" s="194" t="n">
        <x:f>IF(AND(COUNTA(A153:J153,L153,O153,S153:T153,W153)&gt;0,OR(Listas!$B$20="Todos",I153=Listas!$B$20)),1,0)</x:f>
        <x:v>0</x:v>
      </x:c>
      <x:c r="Z153" s="194" t="n">
        <x:f>IF(AND(Y153=1,X153="",J153&lt;&gt;"Cancelado",NOT(OR(J153="Fechado",J153="Resolvido"))),1,0)</x:f>
        <x:v>0</x:v>
      </x:c>
      <x:c r="AA153" s="194" t="n">
        <x:f>IF(AND(Y153=1,X153="",OR(J153="Fechado",J153="Resolvido")),1,0)</x:f>
        <x:v>0</x:v>
      </x:c>
      <x:c r="AB153" s="194" t="n">
        <x:f>IF(Y153=0,0,IF(X153&lt;&gt;"",1,IF(Z153=0,0,IF(P153="ATRASADO",2,IF(AND(M153="ATRASADO",L153=""),3,IF(V153="ESCALAR",4,IF(V153="REVISAR BACKLOG",5,0)))))))</x:f>
        <x:v>0</x:v>
      </x:c>
      <x:c r="AC153" s="194" t="str">
        <x:f>IF(AB153=0,"",COUNTIFS($AB$5:$AB$204,"&gt;0",$AB$5:$AB$204,"&lt;"&amp;AB153)+COUNTIFS($AB$5:AB153,AB153))</x:f>
      </x:c>
      <x:c r="AD153" s="194" t="n">
        <x:f>IF(AND(A153&lt;&gt;"",X153=""),1,0)</x:f>
        <x:v>0</x:v>
      </x:c>
      <x:c r="AE153" s="194" t="n">
        <x:f>IF(AND(Y153=1,X153&lt;&gt;""),1,0)</x:f>
        <x:v>0</x:v>
      </x:c>
      <x:c r="AF153" s="194" t="n">
        <x:f>IF(L153="",1,0)</x:f>
        <x:v>1</x:v>
      </x:c>
    </x:row>
    <x:row r="154">
      <x:c r="A154" s="28"/>
      <x:c r="B154" s="41"/>
      <x:c r="C154" s="28"/>
      <x:c r="D154" s="28"/>
      <x:c r="E154" s="28"/>
      <x:c r="F154" s="28"/>
      <x:c r="G154" s="28"/>
      <x:c r="H154" s="28"/>
      <x:c r="I154" s="28"/>
      <x:c r="J154" s="28"/>
      <x:c r="K154" s="54" t="str">
        <x:f>IF(OR(A154="",X154&lt;&gt;""),"",B154+INDEX(Listas!$B$6:$B$9,MATCH(H154,Listas!$A$6:$A$9,0))/24)</x:f>
      </x:c>
      <x:c r="L154" s="41"/>
      <x:c r="M154" s="55" t="str">
        <x:f>IF(A154="","",IF(X154&lt;&gt;"","DADO PENDENTE",IF(J154="Cancelado","N.A.",IF(L154&lt;&gt;"",IF(L154&lt;=K154,"ATENDIDO","ATRASADO"),IF(OR(J154="Fechado",J154="Resolvido"),"SEM EVIDÊNCIA",IF(Listas!$B$18&gt;K154,"ATRASADO","PENDENTE"))))))</x:f>
      </x:c>
      <x:c r="N154" s="54" t="str">
        <x:f>IF(OR(A154="",X154&lt;&gt;""),"",B154+INDEX(Listas!$C$6:$C$9,MATCH(H154,Listas!$A$6:$A$9,0))/24)</x:f>
      </x:c>
      <x:c r="O154" s="41"/>
      <x:c r="P154" s="55" t="str">
        <x:f>IF(A154="","",IF(X154&lt;&gt;"","DADO PENDENTE",IF(J154="Cancelado","N.A.",IF(OR(J154="Fechado",J154="Resolvido"),IF(O154&lt;=N154,"ATENDIDO","ATRASADO"),IF(Listas!$B$18&gt;N154,"ATRASADO","PENDENTE")))))</x:f>
      </x:c>
      <x:c r="Q154" s="56" t="str">
        <x:f>IF(OR(A154="",X154&lt;&gt;"",J154="Cancelado"),"",24*IF(OR(J154="Fechado",J154="Resolvido"),O154-B154,Listas!$B$18-B154))</x:f>
      </x:c>
      <x:c r="R154" s="57" t="str">
        <x:f>IF(OR(A154="",X154&lt;&gt;"",J154="Cancelado"),"",INT(IF(OR(J154="Fechado",J154="Resolvido"),O154-B154,Listas!$B$18-B154)))</x:f>
      </x:c>
      <x:c r="S154" s="58"/>
      <x:c r="T154" s="58"/>
      <x:c r="U154" s="57" t="str">
        <x:f>IF(OR(A154="",X154&lt;&gt;"",J154="Cancelado"),"",S154*T154)</x:f>
      </x:c>
      <x:c r="V154" s="55" t="str">
        <x:f>IF(A154="","",IF(X154&lt;&gt;"","CORRIGIR DADOS",IF(J154="Cancelado","CANCELADO",IF(OR(J154="Fechado",J154="Resolvido"),"CONCLUÍDO",IF(OR(P154="ATRASADO",U154&gt;=Listas!$B$16),"ESCALAR",IF(AND(M154="ATRASADO",L154=""),"RESPONDER AGORA",IF(R154&gt;=Listas!$B$14,"REVISAR BACKLOG","ACOMPANHAR")))))))</x:f>
      </x:c>
      <x:c r="W154" s="28"/>
      <x:c r="X154" s="194" t="str">
        <x:f>IF(COUNTA(A154:J154,L154,O154,S154:T154,W154)=0,"",IF(OR(NOT(ISNUMBER(Listas!$B$14)),Listas!$B$14&lt;0,NOT(ISNUMBER(Listas!$B$16)),Listas!$B$16&lt;1,COUNT(Listas!$B$6:$C$9)&lt;&gt;8,MIN(Listas!$B$6:$C$9)&lt;=0),"Parâmetros inválidos",IF(A154="","ID ausente",IF(COUNTIFS($A$5:$A$204,A154)&lt;&gt;1,"ID duplicado",IF(OR(NOT(ISNUMBER(B154)),B154&lt;=0),"Abertura inválida",IF(OR(NOT(ISNUMBER(Listas!$B$18)),Listas!$B$18&lt;=0),"Data da análise inválida",IF(B154&gt;Listas!$B$18,"Abertura após análise",IF(COUNTIFS(Listas!$A$6:$A$9,H154)&lt;&gt;1,"Prioridade inválida",IF(COUNTIFS(Equipe!$A$5:$A$12,I154)&lt;&gt;1,"Responsável inválido",IF(COUNTIFS(Listas!$E$6:$E$11,J154)&lt;&gt;1,"Status inválido",IF(AND(L154&lt;&gt;"",OR(NOT(ISNUMBER(L154)),L154&lt;B154,L154&gt;Listas!$B$18)),"Resposta inválida",IF(AND(O154&lt;&gt;"",OR(NOT(ISNUMBER(O154)),O154&lt;B154,O154&gt;Listas!$B$18)),"Resolução inválida",IF(AND(OR(J154="Fechado",J154="Resolvido"),O154=""),"Conclusão sem resolução",IF(OR(NOT(ISNUMBER(S154)),S154&lt;1,S154&gt;5,IF(ISNUMBER(S154),S154&lt;&gt;INT(S154),FALSE),NOT(ISNUMBER(T154)),T154&lt;1,T154&gt;5,IF(ISNUMBER(T154),T154&lt;&gt;INT(T154),FALSE)),"Impacto ou urgência inválido",""))))))))))))))</x:f>
      </x:c>
      <x:c r="Y154" s="194" t="n">
        <x:f>IF(AND(COUNTA(A154:J154,L154,O154,S154:T154,W154)&gt;0,OR(Listas!$B$20="Todos",I154=Listas!$B$20)),1,0)</x:f>
        <x:v>0</x:v>
      </x:c>
      <x:c r="Z154" s="194" t="n">
        <x:f>IF(AND(Y154=1,X154="",J154&lt;&gt;"Cancelado",NOT(OR(J154="Fechado",J154="Resolvido"))),1,0)</x:f>
        <x:v>0</x:v>
      </x:c>
      <x:c r="AA154" s="194" t="n">
        <x:f>IF(AND(Y154=1,X154="",OR(J154="Fechado",J154="Resolvido")),1,0)</x:f>
        <x:v>0</x:v>
      </x:c>
      <x:c r="AB154" s="194" t="n">
        <x:f>IF(Y154=0,0,IF(X154&lt;&gt;"",1,IF(Z154=0,0,IF(P154="ATRASADO",2,IF(AND(M154="ATRASADO",L154=""),3,IF(V154="ESCALAR",4,IF(V154="REVISAR BACKLOG",5,0)))))))</x:f>
        <x:v>0</x:v>
      </x:c>
      <x:c r="AC154" s="194" t="str">
        <x:f>IF(AB154=0,"",COUNTIFS($AB$5:$AB$204,"&gt;0",$AB$5:$AB$204,"&lt;"&amp;AB154)+COUNTIFS($AB$5:AB154,AB154))</x:f>
      </x:c>
      <x:c r="AD154" s="194" t="n">
        <x:f>IF(AND(A154&lt;&gt;"",X154=""),1,0)</x:f>
        <x:v>0</x:v>
      </x:c>
      <x:c r="AE154" s="194" t="n">
        <x:f>IF(AND(Y154=1,X154&lt;&gt;""),1,0)</x:f>
        <x:v>0</x:v>
      </x:c>
      <x:c r="AF154" s="194" t="n">
        <x:f>IF(L154="",1,0)</x:f>
        <x:v>1</x:v>
      </x:c>
    </x:row>
    <x:row r="155">
      <x:c r="A155" s="28"/>
      <x:c r="B155" s="41"/>
      <x:c r="C155" s="28"/>
      <x:c r="D155" s="28"/>
      <x:c r="E155" s="28"/>
      <x:c r="F155" s="28"/>
      <x:c r="G155" s="28"/>
      <x:c r="H155" s="28"/>
      <x:c r="I155" s="28"/>
      <x:c r="J155" s="28"/>
      <x:c r="K155" s="54" t="str">
        <x:f>IF(OR(A155="",X155&lt;&gt;""),"",B155+INDEX(Listas!$B$6:$B$9,MATCH(H155,Listas!$A$6:$A$9,0))/24)</x:f>
      </x:c>
      <x:c r="L155" s="41"/>
      <x:c r="M155" s="55" t="str">
        <x:f>IF(A155="","",IF(X155&lt;&gt;"","DADO PENDENTE",IF(J155="Cancelado","N.A.",IF(L155&lt;&gt;"",IF(L155&lt;=K155,"ATENDIDO","ATRASADO"),IF(OR(J155="Fechado",J155="Resolvido"),"SEM EVIDÊNCIA",IF(Listas!$B$18&gt;K155,"ATRASADO","PENDENTE"))))))</x:f>
      </x:c>
      <x:c r="N155" s="54" t="str">
        <x:f>IF(OR(A155="",X155&lt;&gt;""),"",B155+INDEX(Listas!$C$6:$C$9,MATCH(H155,Listas!$A$6:$A$9,0))/24)</x:f>
      </x:c>
      <x:c r="O155" s="41"/>
      <x:c r="P155" s="55" t="str">
        <x:f>IF(A155="","",IF(X155&lt;&gt;"","DADO PENDENTE",IF(J155="Cancelado","N.A.",IF(OR(J155="Fechado",J155="Resolvido"),IF(O155&lt;=N155,"ATENDIDO","ATRASADO"),IF(Listas!$B$18&gt;N155,"ATRASADO","PENDENTE")))))</x:f>
      </x:c>
      <x:c r="Q155" s="56" t="str">
        <x:f>IF(OR(A155="",X155&lt;&gt;"",J155="Cancelado"),"",24*IF(OR(J155="Fechado",J155="Resolvido"),O155-B155,Listas!$B$18-B155))</x:f>
      </x:c>
      <x:c r="R155" s="57" t="str">
        <x:f>IF(OR(A155="",X155&lt;&gt;"",J155="Cancelado"),"",INT(IF(OR(J155="Fechado",J155="Resolvido"),O155-B155,Listas!$B$18-B155)))</x:f>
      </x:c>
      <x:c r="S155" s="58"/>
      <x:c r="T155" s="58"/>
      <x:c r="U155" s="57" t="str">
        <x:f>IF(OR(A155="",X155&lt;&gt;"",J155="Cancelado"),"",S155*T155)</x:f>
      </x:c>
      <x:c r="V155" s="55" t="str">
        <x:f>IF(A155="","",IF(X155&lt;&gt;"","CORRIGIR DADOS",IF(J155="Cancelado","CANCELADO",IF(OR(J155="Fechado",J155="Resolvido"),"CONCLUÍDO",IF(OR(P155="ATRASADO",U155&gt;=Listas!$B$16),"ESCALAR",IF(AND(M155="ATRASADO",L155=""),"RESPONDER AGORA",IF(R155&gt;=Listas!$B$14,"REVISAR BACKLOG","ACOMPANHAR")))))))</x:f>
      </x:c>
      <x:c r="W155" s="28"/>
      <x:c r="X155" s="194" t="str">
        <x:f>IF(COUNTA(A155:J155,L155,O155,S155:T155,W155)=0,"",IF(OR(NOT(ISNUMBER(Listas!$B$14)),Listas!$B$14&lt;0,NOT(ISNUMBER(Listas!$B$16)),Listas!$B$16&lt;1,COUNT(Listas!$B$6:$C$9)&lt;&gt;8,MIN(Listas!$B$6:$C$9)&lt;=0),"Parâmetros inválidos",IF(A155="","ID ausente",IF(COUNTIFS($A$5:$A$204,A155)&lt;&gt;1,"ID duplicado",IF(OR(NOT(ISNUMBER(B155)),B155&lt;=0),"Abertura inválida",IF(OR(NOT(ISNUMBER(Listas!$B$18)),Listas!$B$18&lt;=0),"Data da análise inválida",IF(B155&gt;Listas!$B$18,"Abertura após análise",IF(COUNTIFS(Listas!$A$6:$A$9,H155)&lt;&gt;1,"Prioridade inválida",IF(COUNTIFS(Equipe!$A$5:$A$12,I155)&lt;&gt;1,"Responsável inválido",IF(COUNTIFS(Listas!$E$6:$E$11,J155)&lt;&gt;1,"Status inválido",IF(AND(L155&lt;&gt;"",OR(NOT(ISNUMBER(L155)),L155&lt;B155,L155&gt;Listas!$B$18)),"Resposta inválida",IF(AND(O155&lt;&gt;"",OR(NOT(ISNUMBER(O155)),O155&lt;B155,O155&gt;Listas!$B$18)),"Resolução inválida",IF(AND(OR(J155="Fechado",J155="Resolvido"),O155=""),"Conclusão sem resolução",IF(OR(NOT(ISNUMBER(S155)),S155&lt;1,S155&gt;5,IF(ISNUMBER(S155),S155&lt;&gt;INT(S155),FALSE),NOT(ISNUMBER(T155)),T155&lt;1,T155&gt;5,IF(ISNUMBER(T155),T155&lt;&gt;INT(T155),FALSE)),"Impacto ou urgência inválido",""))))))))))))))</x:f>
      </x:c>
      <x:c r="Y155" s="194" t="n">
        <x:f>IF(AND(COUNTA(A155:J155,L155,O155,S155:T155,W155)&gt;0,OR(Listas!$B$20="Todos",I155=Listas!$B$20)),1,0)</x:f>
        <x:v>0</x:v>
      </x:c>
      <x:c r="Z155" s="194" t="n">
        <x:f>IF(AND(Y155=1,X155="",J155&lt;&gt;"Cancelado",NOT(OR(J155="Fechado",J155="Resolvido"))),1,0)</x:f>
        <x:v>0</x:v>
      </x:c>
      <x:c r="AA155" s="194" t="n">
        <x:f>IF(AND(Y155=1,X155="",OR(J155="Fechado",J155="Resolvido")),1,0)</x:f>
        <x:v>0</x:v>
      </x:c>
      <x:c r="AB155" s="194" t="n">
        <x:f>IF(Y155=0,0,IF(X155&lt;&gt;"",1,IF(Z155=0,0,IF(P155="ATRASADO",2,IF(AND(M155="ATRASADO",L155=""),3,IF(V155="ESCALAR",4,IF(V155="REVISAR BACKLOG",5,0)))))))</x:f>
        <x:v>0</x:v>
      </x:c>
      <x:c r="AC155" s="194" t="str">
        <x:f>IF(AB155=0,"",COUNTIFS($AB$5:$AB$204,"&gt;0",$AB$5:$AB$204,"&lt;"&amp;AB155)+COUNTIFS($AB$5:AB155,AB155))</x:f>
      </x:c>
      <x:c r="AD155" s="194" t="n">
        <x:f>IF(AND(A155&lt;&gt;"",X155=""),1,0)</x:f>
        <x:v>0</x:v>
      </x:c>
      <x:c r="AE155" s="194" t="n">
        <x:f>IF(AND(Y155=1,X155&lt;&gt;""),1,0)</x:f>
        <x:v>0</x:v>
      </x:c>
      <x:c r="AF155" s="194" t="n">
        <x:f>IF(L155="",1,0)</x:f>
        <x:v>1</x:v>
      </x:c>
    </x:row>
    <x:row r="156">
      <x:c r="A156" s="28"/>
      <x:c r="B156" s="41"/>
      <x:c r="C156" s="28"/>
      <x:c r="D156" s="28"/>
      <x:c r="E156" s="28"/>
      <x:c r="F156" s="28"/>
      <x:c r="G156" s="28"/>
      <x:c r="H156" s="28"/>
      <x:c r="I156" s="28"/>
      <x:c r="J156" s="28"/>
      <x:c r="K156" s="54" t="str">
        <x:f>IF(OR(A156="",X156&lt;&gt;""),"",B156+INDEX(Listas!$B$6:$B$9,MATCH(H156,Listas!$A$6:$A$9,0))/24)</x:f>
      </x:c>
      <x:c r="L156" s="41"/>
      <x:c r="M156" s="55" t="str">
        <x:f>IF(A156="","",IF(X156&lt;&gt;"","DADO PENDENTE",IF(J156="Cancelado","N.A.",IF(L156&lt;&gt;"",IF(L156&lt;=K156,"ATENDIDO","ATRASADO"),IF(OR(J156="Fechado",J156="Resolvido"),"SEM EVIDÊNCIA",IF(Listas!$B$18&gt;K156,"ATRASADO","PENDENTE"))))))</x:f>
      </x:c>
      <x:c r="N156" s="54" t="str">
        <x:f>IF(OR(A156="",X156&lt;&gt;""),"",B156+INDEX(Listas!$C$6:$C$9,MATCH(H156,Listas!$A$6:$A$9,0))/24)</x:f>
      </x:c>
      <x:c r="O156" s="41"/>
      <x:c r="P156" s="55" t="str">
        <x:f>IF(A156="","",IF(X156&lt;&gt;"","DADO PENDENTE",IF(J156="Cancelado","N.A.",IF(OR(J156="Fechado",J156="Resolvido"),IF(O156&lt;=N156,"ATENDIDO","ATRASADO"),IF(Listas!$B$18&gt;N156,"ATRASADO","PENDENTE")))))</x:f>
      </x:c>
      <x:c r="Q156" s="56" t="str">
        <x:f>IF(OR(A156="",X156&lt;&gt;"",J156="Cancelado"),"",24*IF(OR(J156="Fechado",J156="Resolvido"),O156-B156,Listas!$B$18-B156))</x:f>
      </x:c>
      <x:c r="R156" s="57" t="str">
        <x:f>IF(OR(A156="",X156&lt;&gt;"",J156="Cancelado"),"",INT(IF(OR(J156="Fechado",J156="Resolvido"),O156-B156,Listas!$B$18-B156)))</x:f>
      </x:c>
      <x:c r="S156" s="58"/>
      <x:c r="T156" s="58"/>
      <x:c r="U156" s="57" t="str">
        <x:f>IF(OR(A156="",X156&lt;&gt;"",J156="Cancelado"),"",S156*T156)</x:f>
      </x:c>
      <x:c r="V156" s="55" t="str">
        <x:f>IF(A156="","",IF(X156&lt;&gt;"","CORRIGIR DADOS",IF(J156="Cancelado","CANCELADO",IF(OR(J156="Fechado",J156="Resolvido"),"CONCLUÍDO",IF(OR(P156="ATRASADO",U156&gt;=Listas!$B$16),"ESCALAR",IF(AND(M156="ATRASADO",L156=""),"RESPONDER AGORA",IF(R156&gt;=Listas!$B$14,"REVISAR BACKLOG","ACOMPANHAR")))))))</x:f>
      </x:c>
      <x:c r="W156" s="28"/>
      <x:c r="X156" s="194" t="str">
        <x:f>IF(COUNTA(A156:J156,L156,O156,S156:T156,W156)=0,"",IF(OR(NOT(ISNUMBER(Listas!$B$14)),Listas!$B$14&lt;0,NOT(ISNUMBER(Listas!$B$16)),Listas!$B$16&lt;1,COUNT(Listas!$B$6:$C$9)&lt;&gt;8,MIN(Listas!$B$6:$C$9)&lt;=0),"Parâmetros inválidos",IF(A156="","ID ausente",IF(COUNTIFS($A$5:$A$204,A156)&lt;&gt;1,"ID duplicado",IF(OR(NOT(ISNUMBER(B156)),B156&lt;=0),"Abertura inválida",IF(OR(NOT(ISNUMBER(Listas!$B$18)),Listas!$B$18&lt;=0),"Data da análise inválida",IF(B156&gt;Listas!$B$18,"Abertura após análise",IF(COUNTIFS(Listas!$A$6:$A$9,H156)&lt;&gt;1,"Prioridade inválida",IF(COUNTIFS(Equipe!$A$5:$A$12,I156)&lt;&gt;1,"Responsável inválido",IF(COUNTIFS(Listas!$E$6:$E$11,J156)&lt;&gt;1,"Status inválido",IF(AND(L156&lt;&gt;"",OR(NOT(ISNUMBER(L156)),L156&lt;B156,L156&gt;Listas!$B$18)),"Resposta inválida",IF(AND(O156&lt;&gt;"",OR(NOT(ISNUMBER(O156)),O156&lt;B156,O156&gt;Listas!$B$18)),"Resolução inválida",IF(AND(OR(J156="Fechado",J156="Resolvido"),O156=""),"Conclusão sem resolução",IF(OR(NOT(ISNUMBER(S156)),S156&lt;1,S156&gt;5,IF(ISNUMBER(S156),S156&lt;&gt;INT(S156),FALSE),NOT(ISNUMBER(T156)),T156&lt;1,T156&gt;5,IF(ISNUMBER(T156),T156&lt;&gt;INT(T156),FALSE)),"Impacto ou urgência inválido",""))))))))))))))</x:f>
      </x:c>
      <x:c r="Y156" s="194" t="n">
        <x:f>IF(AND(COUNTA(A156:J156,L156,O156,S156:T156,W156)&gt;0,OR(Listas!$B$20="Todos",I156=Listas!$B$20)),1,0)</x:f>
        <x:v>0</x:v>
      </x:c>
      <x:c r="Z156" s="194" t="n">
        <x:f>IF(AND(Y156=1,X156="",J156&lt;&gt;"Cancelado",NOT(OR(J156="Fechado",J156="Resolvido"))),1,0)</x:f>
        <x:v>0</x:v>
      </x:c>
      <x:c r="AA156" s="194" t="n">
        <x:f>IF(AND(Y156=1,X156="",OR(J156="Fechado",J156="Resolvido")),1,0)</x:f>
        <x:v>0</x:v>
      </x:c>
      <x:c r="AB156" s="194" t="n">
        <x:f>IF(Y156=0,0,IF(X156&lt;&gt;"",1,IF(Z156=0,0,IF(P156="ATRASADO",2,IF(AND(M156="ATRASADO",L156=""),3,IF(V156="ESCALAR",4,IF(V156="REVISAR BACKLOG",5,0)))))))</x:f>
        <x:v>0</x:v>
      </x:c>
      <x:c r="AC156" s="194" t="str">
        <x:f>IF(AB156=0,"",COUNTIFS($AB$5:$AB$204,"&gt;0",$AB$5:$AB$204,"&lt;"&amp;AB156)+COUNTIFS($AB$5:AB156,AB156))</x:f>
      </x:c>
      <x:c r="AD156" s="194" t="n">
        <x:f>IF(AND(A156&lt;&gt;"",X156=""),1,0)</x:f>
        <x:v>0</x:v>
      </x:c>
      <x:c r="AE156" s="194" t="n">
        <x:f>IF(AND(Y156=1,X156&lt;&gt;""),1,0)</x:f>
        <x:v>0</x:v>
      </x:c>
      <x:c r="AF156" s="194" t="n">
        <x:f>IF(L156="",1,0)</x:f>
        <x:v>1</x:v>
      </x:c>
    </x:row>
    <x:row r="157">
      <x:c r="A157" s="28"/>
      <x:c r="B157" s="41"/>
      <x:c r="C157" s="28"/>
      <x:c r="D157" s="28"/>
      <x:c r="E157" s="28"/>
      <x:c r="F157" s="28"/>
      <x:c r="G157" s="28"/>
      <x:c r="H157" s="28"/>
      <x:c r="I157" s="28"/>
      <x:c r="J157" s="28"/>
      <x:c r="K157" s="54" t="str">
        <x:f>IF(OR(A157="",X157&lt;&gt;""),"",B157+INDEX(Listas!$B$6:$B$9,MATCH(H157,Listas!$A$6:$A$9,0))/24)</x:f>
      </x:c>
      <x:c r="L157" s="41"/>
      <x:c r="M157" s="55" t="str">
        <x:f>IF(A157="","",IF(X157&lt;&gt;"","DADO PENDENTE",IF(J157="Cancelado","N.A.",IF(L157&lt;&gt;"",IF(L157&lt;=K157,"ATENDIDO","ATRASADO"),IF(OR(J157="Fechado",J157="Resolvido"),"SEM EVIDÊNCIA",IF(Listas!$B$18&gt;K157,"ATRASADO","PENDENTE"))))))</x:f>
      </x:c>
      <x:c r="N157" s="54" t="str">
        <x:f>IF(OR(A157="",X157&lt;&gt;""),"",B157+INDEX(Listas!$C$6:$C$9,MATCH(H157,Listas!$A$6:$A$9,0))/24)</x:f>
      </x:c>
      <x:c r="O157" s="41"/>
      <x:c r="P157" s="55" t="str">
        <x:f>IF(A157="","",IF(X157&lt;&gt;"","DADO PENDENTE",IF(J157="Cancelado","N.A.",IF(OR(J157="Fechado",J157="Resolvido"),IF(O157&lt;=N157,"ATENDIDO","ATRASADO"),IF(Listas!$B$18&gt;N157,"ATRASADO","PENDENTE")))))</x:f>
      </x:c>
      <x:c r="Q157" s="56" t="str">
        <x:f>IF(OR(A157="",X157&lt;&gt;"",J157="Cancelado"),"",24*IF(OR(J157="Fechado",J157="Resolvido"),O157-B157,Listas!$B$18-B157))</x:f>
      </x:c>
      <x:c r="R157" s="57" t="str">
        <x:f>IF(OR(A157="",X157&lt;&gt;"",J157="Cancelado"),"",INT(IF(OR(J157="Fechado",J157="Resolvido"),O157-B157,Listas!$B$18-B157)))</x:f>
      </x:c>
      <x:c r="S157" s="58"/>
      <x:c r="T157" s="58"/>
      <x:c r="U157" s="57" t="str">
        <x:f>IF(OR(A157="",X157&lt;&gt;"",J157="Cancelado"),"",S157*T157)</x:f>
      </x:c>
      <x:c r="V157" s="55" t="str">
        <x:f>IF(A157="","",IF(X157&lt;&gt;"","CORRIGIR DADOS",IF(J157="Cancelado","CANCELADO",IF(OR(J157="Fechado",J157="Resolvido"),"CONCLUÍDO",IF(OR(P157="ATRASADO",U157&gt;=Listas!$B$16),"ESCALAR",IF(AND(M157="ATRASADO",L157=""),"RESPONDER AGORA",IF(R157&gt;=Listas!$B$14,"REVISAR BACKLOG","ACOMPANHAR")))))))</x:f>
      </x:c>
      <x:c r="W157" s="28"/>
      <x:c r="X157" s="194" t="str">
        <x:f>IF(COUNTA(A157:J157,L157,O157,S157:T157,W157)=0,"",IF(OR(NOT(ISNUMBER(Listas!$B$14)),Listas!$B$14&lt;0,NOT(ISNUMBER(Listas!$B$16)),Listas!$B$16&lt;1,COUNT(Listas!$B$6:$C$9)&lt;&gt;8,MIN(Listas!$B$6:$C$9)&lt;=0),"Parâmetros inválidos",IF(A157="","ID ausente",IF(COUNTIFS($A$5:$A$204,A157)&lt;&gt;1,"ID duplicado",IF(OR(NOT(ISNUMBER(B157)),B157&lt;=0),"Abertura inválida",IF(OR(NOT(ISNUMBER(Listas!$B$18)),Listas!$B$18&lt;=0),"Data da análise inválida",IF(B157&gt;Listas!$B$18,"Abertura após análise",IF(COUNTIFS(Listas!$A$6:$A$9,H157)&lt;&gt;1,"Prioridade inválida",IF(COUNTIFS(Equipe!$A$5:$A$12,I157)&lt;&gt;1,"Responsável inválido",IF(COUNTIFS(Listas!$E$6:$E$11,J157)&lt;&gt;1,"Status inválido",IF(AND(L157&lt;&gt;"",OR(NOT(ISNUMBER(L157)),L157&lt;B157,L157&gt;Listas!$B$18)),"Resposta inválida",IF(AND(O157&lt;&gt;"",OR(NOT(ISNUMBER(O157)),O157&lt;B157,O157&gt;Listas!$B$18)),"Resolução inválida",IF(AND(OR(J157="Fechado",J157="Resolvido"),O157=""),"Conclusão sem resolução",IF(OR(NOT(ISNUMBER(S157)),S157&lt;1,S157&gt;5,IF(ISNUMBER(S157),S157&lt;&gt;INT(S157),FALSE),NOT(ISNUMBER(T157)),T157&lt;1,T157&gt;5,IF(ISNUMBER(T157),T157&lt;&gt;INT(T157),FALSE)),"Impacto ou urgência inválido",""))))))))))))))</x:f>
      </x:c>
      <x:c r="Y157" s="194" t="n">
        <x:f>IF(AND(COUNTA(A157:J157,L157,O157,S157:T157,W157)&gt;0,OR(Listas!$B$20="Todos",I157=Listas!$B$20)),1,0)</x:f>
        <x:v>0</x:v>
      </x:c>
      <x:c r="Z157" s="194" t="n">
        <x:f>IF(AND(Y157=1,X157="",J157&lt;&gt;"Cancelado",NOT(OR(J157="Fechado",J157="Resolvido"))),1,0)</x:f>
        <x:v>0</x:v>
      </x:c>
      <x:c r="AA157" s="194" t="n">
        <x:f>IF(AND(Y157=1,X157="",OR(J157="Fechado",J157="Resolvido")),1,0)</x:f>
        <x:v>0</x:v>
      </x:c>
      <x:c r="AB157" s="194" t="n">
        <x:f>IF(Y157=0,0,IF(X157&lt;&gt;"",1,IF(Z157=0,0,IF(P157="ATRASADO",2,IF(AND(M157="ATRASADO",L157=""),3,IF(V157="ESCALAR",4,IF(V157="REVISAR BACKLOG",5,0)))))))</x:f>
        <x:v>0</x:v>
      </x:c>
      <x:c r="AC157" s="194" t="str">
        <x:f>IF(AB157=0,"",COUNTIFS($AB$5:$AB$204,"&gt;0",$AB$5:$AB$204,"&lt;"&amp;AB157)+COUNTIFS($AB$5:AB157,AB157))</x:f>
      </x:c>
      <x:c r="AD157" s="194" t="n">
        <x:f>IF(AND(A157&lt;&gt;"",X157=""),1,0)</x:f>
        <x:v>0</x:v>
      </x:c>
      <x:c r="AE157" s="194" t="n">
        <x:f>IF(AND(Y157=1,X157&lt;&gt;""),1,0)</x:f>
        <x:v>0</x:v>
      </x:c>
      <x:c r="AF157" s="194" t="n">
        <x:f>IF(L157="",1,0)</x:f>
        <x:v>1</x:v>
      </x:c>
    </x:row>
    <x:row r="158">
      <x:c r="A158" s="28"/>
      <x:c r="B158" s="41"/>
      <x:c r="C158" s="28"/>
      <x:c r="D158" s="28"/>
      <x:c r="E158" s="28"/>
      <x:c r="F158" s="28"/>
      <x:c r="G158" s="28"/>
      <x:c r="H158" s="28"/>
      <x:c r="I158" s="28"/>
      <x:c r="J158" s="28"/>
      <x:c r="K158" s="54" t="str">
        <x:f>IF(OR(A158="",X158&lt;&gt;""),"",B158+INDEX(Listas!$B$6:$B$9,MATCH(H158,Listas!$A$6:$A$9,0))/24)</x:f>
      </x:c>
      <x:c r="L158" s="41"/>
      <x:c r="M158" s="55" t="str">
        <x:f>IF(A158="","",IF(X158&lt;&gt;"","DADO PENDENTE",IF(J158="Cancelado","N.A.",IF(L158&lt;&gt;"",IF(L158&lt;=K158,"ATENDIDO","ATRASADO"),IF(OR(J158="Fechado",J158="Resolvido"),"SEM EVIDÊNCIA",IF(Listas!$B$18&gt;K158,"ATRASADO","PENDENTE"))))))</x:f>
      </x:c>
      <x:c r="N158" s="54" t="str">
        <x:f>IF(OR(A158="",X158&lt;&gt;""),"",B158+INDEX(Listas!$C$6:$C$9,MATCH(H158,Listas!$A$6:$A$9,0))/24)</x:f>
      </x:c>
      <x:c r="O158" s="41"/>
      <x:c r="P158" s="55" t="str">
        <x:f>IF(A158="","",IF(X158&lt;&gt;"","DADO PENDENTE",IF(J158="Cancelado","N.A.",IF(OR(J158="Fechado",J158="Resolvido"),IF(O158&lt;=N158,"ATENDIDO","ATRASADO"),IF(Listas!$B$18&gt;N158,"ATRASADO","PENDENTE")))))</x:f>
      </x:c>
      <x:c r="Q158" s="56" t="str">
        <x:f>IF(OR(A158="",X158&lt;&gt;"",J158="Cancelado"),"",24*IF(OR(J158="Fechado",J158="Resolvido"),O158-B158,Listas!$B$18-B158))</x:f>
      </x:c>
      <x:c r="R158" s="57" t="str">
        <x:f>IF(OR(A158="",X158&lt;&gt;"",J158="Cancelado"),"",INT(IF(OR(J158="Fechado",J158="Resolvido"),O158-B158,Listas!$B$18-B158)))</x:f>
      </x:c>
      <x:c r="S158" s="58"/>
      <x:c r="T158" s="58"/>
      <x:c r="U158" s="57" t="str">
        <x:f>IF(OR(A158="",X158&lt;&gt;"",J158="Cancelado"),"",S158*T158)</x:f>
      </x:c>
      <x:c r="V158" s="55" t="str">
        <x:f>IF(A158="","",IF(X158&lt;&gt;"","CORRIGIR DADOS",IF(J158="Cancelado","CANCELADO",IF(OR(J158="Fechado",J158="Resolvido"),"CONCLUÍDO",IF(OR(P158="ATRASADO",U158&gt;=Listas!$B$16),"ESCALAR",IF(AND(M158="ATRASADO",L158=""),"RESPONDER AGORA",IF(R158&gt;=Listas!$B$14,"REVISAR BACKLOG","ACOMPANHAR")))))))</x:f>
      </x:c>
      <x:c r="W158" s="28"/>
      <x:c r="X158" s="194" t="str">
        <x:f>IF(COUNTA(A158:J158,L158,O158,S158:T158,W158)=0,"",IF(OR(NOT(ISNUMBER(Listas!$B$14)),Listas!$B$14&lt;0,NOT(ISNUMBER(Listas!$B$16)),Listas!$B$16&lt;1,COUNT(Listas!$B$6:$C$9)&lt;&gt;8,MIN(Listas!$B$6:$C$9)&lt;=0),"Parâmetros inválidos",IF(A158="","ID ausente",IF(COUNTIFS($A$5:$A$204,A158)&lt;&gt;1,"ID duplicado",IF(OR(NOT(ISNUMBER(B158)),B158&lt;=0),"Abertura inválida",IF(OR(NOT(ISNUMBER(Listas!$B$18)),Listas!$B$18&lt;=0),"Data da análise inválida",IF(B158&gt;Listas!$B$18,"Abertura após análise",IF(COUNTIFS(Listas!$A$6:$A$9,H158)&lt;&gt;1,"Prioridade inválida",IF(COUNTIFS(Equipe!$A$5:$A$12,I158)&lt;&gt;1,"Responsável inválido",IF(COUNTIFS(Listas!$E$6:$E$11,J158)&lt;&gt;1,"Status inválido",IF(AND(L158&lt;&gt;"",OR(NOT(ISNUMBER(L158)),L158&lt;B158,L158&gt;Listas!$B$18)),"Resposta inválida",IF(AND(O158&lt;&gt;"",OR(NOT(ISNUMBER(O158)),O158&lt;B158,O158&gt;Listas!$B$18)),"Resolução inválida",IF(AND(OR(J158="Fechado",J158="Resolvido"),O158=""),"Conclusão sem resolução",IF(OR(NOT(ISNUMBER(S158)),S158&lt;1,S158&gt;5,IF(ISNUMBER(S158),S158&lt;&gt;INT(S158),FALSE),NOT(ISNUMBER(T158)),T158&lt;1,T158&gt;5,IF(ISNUMBER(T158),T158&lt;&gt;INT(T158),FALSE)),"Impacto ou urgência inválido",""))))))))))))))</x:f>
      </x:c>
      <x:c r="Y158" s="194" t="n">
        <x:f>IF(AND(COUNTA(A158:J158,L158,O158,S158:T158,W158)&gt;0,OR(Listas!$B$20="Todos",I158=Listas!$B$20)),1,0)</x:f>
        <x:v>0</x:v>
      </x:c>
      <x:c r="Z158" s="194" t="n">
        <x:f>IF(AND(Y158=1,X158="",J158&lt;&gt;"Cancelado",NOT(OR(J158="Fechado",J158="Resolvido"))),1,0)</x:f>
        <x:v>0</x:v>
      </x:c>
      <x:c r="AA158" s="194" t="n">
        <x:f>IF(AND(Y158=1,X158="",OR(J158="Fechado",J158="Resolvido")),1,0)</x:f>
        <x:v>0</x:v>
      </x:c>
      <x:c r="AB158" s="194" t="n">
        <x:f>IF(Y158=0,0,IF(X158&lt;&gt;"",1,IF(Z158=0,0,IF(P158="ATRASADO",2,IF(AND(M158="ATRASADO",L158=""),3,IF(V158="ESCALAR",4,IF(V158="REVISAR BACKLOG",5,0)))))))</x:f>
        <x:v>0</x:v>
      </x:c>
      <x:c r="AC158" s="194" t="str">
        <x:f>IF(AB158=0,"",COUNTIFS($AB$5:$AB$204,"&gt;0",$AB$5:$AB$204,"&lt;"&amp;AB158)+COUNTIFS($AB$5:AB158,AB158))</x:f>
      </x:c>
      <x:c r="AD158" s="194" t="n">
        <x:f>IF(AND(A158&lt;&gt;"",X158=""),1,0)</x:f>
        <x:v>0</x:v>
      </x:c>
      <x:c r="AE158" s="194" t="n">
        <x:f>IF(AND(Y158=1,X158&lt;&gt;""),1,0)</x:f>
        <x:v>0</x:v>
      </x:c>
      <x:c r="AF158" s="194" t="n">
        <x:f>IF(L158="",1,0)</x:f>
        <x:v>1</x:v>
      </x:c>
    </x:row>
    <x:row r="159">
      <x:c r="A159" s="28"/>
      <x:c r="B159" s="41"/>
      <x:c r="C159" s="28"/>
      <x:c r="D159" s="28"/>
      <x:c r="E159" s="28"/>
      <x:c r="F159" s="28"/>
      <x:c r="G159" s="28"/>
      <x:c r="H159" s="28"/>
      <x:c r="I159" s="28"/>
      <x:c r="J159" s="28"/>
      <x:c r="K159" s="54" t="str">
        <x:f>IF(OR(A159="",X159&lt;&gt;""),"",B159+INDEX(Listas!$B$6:$B$9,MATCH(H159,Listas!$A$6:$A$9,0))/24)</x:f>
      </x:c>
      <x:c r="L159" s="41"/>
      <x:c r="M159" s="55" t="str">
        <x:f>IF(A159="","",IF(X159&lt;&gt;"","DADO PENDENTE",IF(J159="Cancelado","N.A.",IF(L159&lt;&gt;"",IF(L159&lt;=K159,"ATENDIDO","ATRASADO"),IF(OR(J159="Fechado",J159="Resolvido"),"SEM EVIDÊNCIA",IF(Listas!$B$18&gt;K159,"ATRASADO","PENDENTE"))))))</x:f>
      </x:c>
      <x:c r="N159" s="54" t="str">
        <x:f>IF(OR(A159="",X159&lt;&gt;""),"",B159+INDEX(Listas!$C$6:$C$9,MATCH(H159,Listas!$A$6:$A$9,0))/24)</x:f>
      </x:c>
      <x:c r="O159" s="41"/>
      <x:c r="P159" s="55" t="str">
        <x:f>IF(A159="","",IF(X159&lt;&gt;"","DADO PENDENTE",IF(J159="Cancelado","N.A.",IF(OR(J159="Fechado",J159="Resolvido"),IF(O159&lt;=N159,"ATENDIDO","ATRASADO"),IF(Listas!$B$18&gt;N159,"ATRASADO","PENDENTE")))))</x:f>
      </x:c>
      <x:c r="Q159" s="56" t="str">
        <x:f>IF(OR(A159="",X159&lt;&gt;"",J159="Cancelado"),"",24*IF(OR(J159="Fechado",J159="Resolvido"),O159-B159,Listas!$B$18-B159))</x:f>
      </x:c>
      <x:c r="R159" s="57" t="str">
        <x:f>IF(OR(A159="",X159&lt;&gt;"",J159="Cancelado"),"",INT(IF(OR(J159="Fechado",J159="Resolvido"),O159-B159,Listas!$B$18-B159)))</x:f>
      </x:c>
      <x:c r="S159" s="58"/>
      <x:c r="T159" s="58"/>
      <x:c r="U159" s="57" t="str">
        <x:f>IF(OR(A159="",X159&lt;&gt;"",J159="Cancelado"),"",S159*T159)</x:f>
      </x:c>
      <x:c r="V159" s="55" t="str">
        <x:f>IF(A159="","",IF(X159&lt;&gt;"","CORRIGIR DADOS",IF(J159="Cancelado","CANCELADO",IF(OR(J159="Fechado",J159="Resolvido"),"CONCLUÍDO",IF(OR(P159="ATRASADO",U159&gt;=Listas!$B$16),"ESCALAR",IF(AND(M159="ATRASADO",L159=""),"RESPONDER AGORA",IF(R159&gt;=Listas!$B$14,"REVISAR BACKLOG","ACOMPANHAR")))))))</x:f>
      </x:c>
      <x:c r="W159" s="28"/>
      <x:c r="X159" s="194" t="str">
        <x:f>IF(COUNTA(A159:J159,L159,O159,S159:T159,W159)=0,"",IF(OR(NOT(ISNUMBER(Listas!$B$14)),Listas!$B$14&lt;0,NOT(ISNUMBER(Listas!$B$16)),Listas!$B$16&lt;1,COUNT(Listas!$B$6:$C$9)&lt;&gt;8,MIN(Listas!$B$6:$C$9)&lt;=0),"Parâmetros inválidos",IF(A159="","ID ausente",IF(COUNTIFS($A$5:$A$204,A159)&lt;&gt;1,"ID duplicado",IF(OR(NOT(ISNUMBER(B159)),B159&lt;=0),"Abertura inválida",IF(OR(NOT(ISNUMBER(Listas!$B$18)),Listas!$B$18&lt;=0),"Data da análise inválida",IF(B159&gt;Listas!$B$18,"Abertura após análise",IF(COUNTIFS(Listas!$A$6:$A$9,H159)&lt;&gt;1,"Prioridade inválida",IF(COUNTIFS(Equipe!$A$5:$A$12,I159)&lt;&gt;1,"Responsável inválido",IF(COUNTIFS(Listas!$E$6:$E$11,J159)&lt;&gt;1,"Status inválido",IF(AND(L159&lt;&gt;"",OR(NOT(ISNUMBER(L159)),L159&lt;B159,L159&gt;Listas!$B$18)),"Resposta inválida",IF(AND(O159&lt;&gt;"",OR(NOT(ISNUMBER(O159)),O159&lt;B159,O159&gt;Listas!$B$18)),"Resolução inválida",IF(AND(OR(J159="Fechado",J159="Resolvido"),O159=""),"Conclusão sem resolução",IF(OR(NOT(ISNUMBER(S159)),S159&lt;1,S159&gt;5,IF(ISNUMBER(S159),S159&lt;&gt;INT(S159),FALSE),NOT(ISNUMBER(T159)),T159&lt;1,T159&gt;5,IF(ISNUMBER(T159),T159&lt;&gt;INT(T159),FALSE)),"Impacto ou urgência inválido",""))))))))))))))</x:f>
      </x:c>
      <x:c r="Y159" s="194" t="n">
        <x:f>IF(AND(COUNTA(A159:J159,L159,O159,S159:T159,W159)&gt;0,OR(Listas!$B$20="Todos",I159=Listas!$B$20)),1,0)</x:f>
        <x:v>0</x:v>
      </x:c>
      <x:c r="Z159" s="194" t="n">
        <x:f>IF(AND(Y159=1,X159="",J159&lt;&gt;"Cancelado",NOT(OR(J159="Fechado",J159="Resolvido"))),1,0)</x:f>
        <x:v>0</x:v>
      </x:c>
      <x:c r="AA159" s="194" t="n">
        <x:f>IF(AND(Y159=1,X159="",OR(J159="Fechado",J159="Resolvido")),1,0)</x:f>
        <x:v>0</x:v>
      </x:c>
      <x:c r="AB159" s="194" t="n">
        <x:f>IF(Y159=0,0,IF(X159&lt;&gt;"",1,IF(Z159=0,0,IF(P159="ATRASADO",2,IF(AND(M159="ATRASADO",L159=""),3,IF(V159="ESCALAR",4,IF(V159="REVISAR BACKLOG",5,0)))))))</x:f>
        <x:v>0</x:v>
      </x:c>
      <x:c r="AC159" s="194" t="str">
        <x:f>IF(AB159=0,"",COUNTIFS($AB$5:$AB$204,"&gt;0",$AB$5:$AB$204,"&lt;"&amp;AB159)+COUNTIFS($AB$5:AB159,AB159))</x:f>
      </x:c>
      <x:c r="AD159" s="194" t="n">
        <x:f>IF(AND(A159&lt;&gt;"",X159=""),1,0)</x:f>
        <x:v>0</x:v>
      </x:c>
      <x:c r="AE159" s="194" t="n">
        <x:f>IF(AND(Y159=1,X159&lt;&gt;""),1,0)</x:f>
        <x:v>0</x:v>
      </x:c>
      <x:c r="AF159" s="194" t="n">
        <x:f>IF(L159="",1,0)</x:f>
        <x:v>1</x:v>
      </x:c>
    </x:row>
    <x:row r="160">
      <x:c r="A160" s="28"/>
      <x:c r="B160" s="41"/>
      <x:c r="C160" s="28"/>
      <x:c r="D160" s="28"/>
      <x:c r="E160" s="28"/>
      <x:c r="F160" s="28"/>
      <x:c r="G160" s="28"/>
      <x:c r="H160" s="28"/>
      <x:c r="I160" s="28"/>
      <x:c r="J160" s="28"/>
      <x:c r="K160" s="54" t="str">
        <x:f>IF(OR(A160="",X160&lt;&gt;""),"",B160+INDEX(Listas!$B$6:$B$9,MATCH(H160,Listas!$A$6:$A$9,0))/24)</x:f>
      </x:c>
      <x:c r="L160" s="41"/>
      <x:c r="M160" s="55" t="str">
        <x:f>IF(A160="","",IF(X160&lt;&gt;"","DADO PENDENTE",IF(J160="Cancelado","N.A.",IF(L160&lt;&gt;"",IF(L160&lt;=K160,"ATENDIDO","ATRASADO"),IF(OR(J160="Fechado",J160="Resolvido"),"SEM EVIDÊNCIA",IF(Listas!$B$18&gt;K160,"ATRASADO","PENDENTE"))))))</x:f>
      </x:c>
      <x:c r="N160" s="54" t="str">
        <x:f>IF(OR(A160="",X160&lt;&gt;""),"",B160+INDEX(Listas!$C$6:$C$9,MATCH(H160,Listas!$A$6:$A$9,0))/24)</x:f>
      </x:c>
      <x:c r="O160" s="41"/>
      <x:c r="P160" s="55" t="str">
        <x:f>IF(A160="","",IF(X160&lt;&gt;"","DADO PENDENTE",IF(J160="Cancelado","N.A.",IF(OR(J160="Fechado",J160="Resolvido"),IF(O160&lt;=N160,"ATENDIDO","ATRASADO"),IF(Listas!$B$18&gt;N160,"ATRASADO","PENDENTE")))))</x:f>
      </x:c>
      <x:c r="Q160" s="56" t="str">
        <x:f>IF(OR(A160="",X160&lt;&gt;"",J160="Cancelado"),"",24*IF(OR(J160="Fechado",J160="Resolvido"),O160-B160,Listas!$B$18-B160))</x:f>
      </x:c>
      <x:c r="R160" s="57" t="str">
        <x:f>IF(OR(A160="",X160&lt;&gt;"",J160="Cancelado"),"",INT(IF(OR(J160="Fechado",J160="Resolvido"),O160-B160,Listas!$B$18-B160)))</x:f>
      </x:c>
      <x:c r="S160" s="58"/>
      <x:c r="T160" s="58"/>
      <x:c r="U160" s="57" t="str">
        <x:f>IF(OR(A160="",X160&lt;&gt;"",J160="Cancelado"),"",S160*T160)</x:f>
      </x:c>
      <x:c r="V160" s="55" t="str">
        <x:f>IF(A160="","",IF(X160&lt;&gt;"","CORRIGIR DADOS",IF(J160="Cancelado","CANCELADO",IF(OR(J160="Fechado",J160="Resolvido"),"CONCLUÍDO",IF(OR(P160="ATRASADO",U160&gt;=Listas!$B$16),"ESCALAR",IF(AND(M160="ATRASADO",L160=""),"RESPONDER AGORA",IF(R160&gt;=Listas!$B$14,"REVISAR BACKLOG","ACOMPANHAR")))))))</x:f>
      </x:c>
      <x:c r="W160" s="28"/>
      <x:c r="X160" s="194" t="str">
        <x:f>IF(COUNTA(A160:J160,L160,O160,S160:T160,W160)=0,"",IF(OR(NOT(ISNUMBER(Listas!$B$14)),Listas!$B$14&lt;0,NOT(ISNUMBER(Listas!$B$16)),Listas!$B$16&lt;1,COUNT(Listas!$B$6:$C$9)&lt;&gt;8,MIN(Listas!$B$6:$C$9)&lt;=0),"Parâmetros inválidos",IF(A160="","ID ausente",IF(COUNTIFS($A$5:$A$204,A160)&lt;&gt;1,"ID duplicado",IF(OR(NOT(ISNUMBER(B160)),B160&lt;=0),"Abertura inválida",IF(OR(NOT(ISNUMBER(Listas!$B$18)),Listas!$B$18&lt;=0),"Data da análise inválida",IF(B160&gt;Listas!$B$18,"Abertura após análise",IF(COUNTIFS(Listas!$A$6:$A$9,H160)&lt;&gt;1,"Prioridade inválida",IF(COUNTIFS(Equipe!$A$5:$A$12,I160)&lt;&gt;1,"Responsável inválido",IF(COUNTIFS(Listas!$E$6:$E$11,J160)&lt;&gt;1,"Status inválido",IF(AND(L160&lt;&gt;"",OR(NOT(ISNUMBER(L160)),L160&lt;B160,L160&gt;Listas!$B$18)),"Resposta inválida",IF(AND(O160&lt;&gt;"",OR(NOT(ISNUMBER(O160)),O160&lt;B160,O160&gt;Listas!$B$18)),"Resolução inválida",IF(AND(OR(J160="Fechado",J160="Resolvido"),O160=""),"Conclusão sem resolução",IF(OR(NOT(ISNUMBER(S160)),S160&lt;1,S160&gt;5,IF(ISNUMBER(S160),S160&lt;&gt;INT(S160),FALSE),NOT(ISNUMBER(T160)),T160&lt;1,T160&gt;5,IF(ISNUMBER(T160),T160&lt;&gt;INT(T160),FALSE)),"Impacto ou urgência inválido",""))))))))))))))</x:f>
      </x:c>
      <x:c r="Y160" s="194" t="n">
        <x:f>IF(AND(COUNTA(A160:J160,L160,O160,S160:T160,W160)&gt;0,OR(Listas!$B$20="Todos",I160=Listas!$B$20)),1,0)</x:f>
        <x:v>0</x:v>
      </x:c>
      <x:c r="Z160" s="194" t="n">
        <x:f>IF(AND(Y160=1,X160="",J160&lt;&gt;"Cancelado",NOT(OR(J160="Fechado",J160="Resolvido"))),1,0)</x:f>
        <x:v>0</x:v>
      </x:c>
      <x:c r="AA160" s="194" t="n">
        <x:f>IF(AND(Y160=1,X160="",OR(J160="Fechado",J160="Resolvido")),1,0)</x:f>
        <x:v>0</x:v>
      </x:c>
      <x:c r="AB160" s="194" t="n">
        <x:f>IF(Y160=0,0,IF(X160&lt;&gt;"",1,IF(Z160=0,0,IF(P160="ATRASADO",2,IF(AND(M160="ATRASADO",L160=""),3,IF(V160="ESCALAR",4,IF(V160="REVISAR BACKLOG",5,0)))))))</x:f>
        <x:v>0</x:v>
      </x:c>
      <x:c r="AC160" s="194" t="str">
        <x:f>IF(AB160=0,"",COUNTIFS($AB$5:$AB$204,"&gt;0",$AB$5:$AB$204,"&lt;"&amp;AB160)+COUNTIFS($AB$5:AB160,AB160))</x:f>
      </x:c>
      <x:c r="AD160" s="194" t="n">
        <x:f>IF(AND(A160&lt;&gt;"",X160=""),1,0)</x:f>
        <x:v>0</x:v>
      </x:c>
      <x:c r="AE160" s="194" t="n">
        <x:f>IF(AND(Y160=1,X160&lt;&gt;""),1,0)</x:f>
        <x:v>0</x:v>
      </x:c>
      <x:c r="AF160" s="194" t="n">
        <x:f>IF(L160="",1,0)</x:f>
        <x:v>1</x:v>
      </x:c>
    </x:row>
    <x:row r="161">
      <x:c r="A161" s="28"/>
      <x:c r="B161" s="41"/>
      <x:c r="C161" s="28"/>
      <x:c r="D161" s="28"/>
      <x:c r="E161" s="28"/>
      <x:c r="F161" s="28"/>
      <x:c r="G161" s="28"/>
      <x:c r="H161" s="28"/>
      <x:c r="I161" s="28"/>
      <x:c r="J161" s="28"/>
      <x:c r="K161" s="54" t="str">
        <x:f>IF(OR(A161="",X161&lt;&gt;""),"",B161+INDEX(Listas!$B$6:$B$9,MATCH(H161,Listas!$A$6:$A$9,0))/24)</x:f>
      </x:c>
      <x:c r="L161" s="41"/>
      <x:c r="M161" s="55" t="str">
        <x:f>IF(A161="","",IF(X161&lt;&gt;"","DADO PENDENTE",IF(J161="Cancelado","N.A.",IF(L161&lt;&gt;"",IF(L161&lt;=K161,"ATENDIDO","ATRASADO"),IF(OR(J161="Fechado",J161="Resolvido"),"SEM EVIDÊNCIA",IF(Listas!$B$18&gt;K161,"ATRASADO","PENDENTE"))))))</x:f>
      </x:c>
      <x:c r="N161" s="54" t="str">
        <x:f>IF(OR(A161="",X161&lt;&gt;""),"",B161+INDEX(Listas!$C$6:$C$9,MATCH(H161,Listas!$A$6:$A$9,0))/24)</x:f>
      </x:c>
      <x:c r="O161" s="41"/>
      <x:c r="P161" s="55" t="str">
        <x:f>IF(A161="","",IF(X161&lt;&gt;"","DADO PENDENTE",IF(J161="Cancelado","N.A.",IF(OR(J161="Fechado",J161="Resolvido"),IF(O161&lt;=N161,"ATENDIDO","ATRASADO"),IF(Listas!$B$18&gt;N161,"ATRASADO","PENDENTE")))))</x:f>
      </x:c>
      <x:c r="Q161" s="56" t="str">
        <x:f>IF(OR(A161="",X161&lt;&gt;"",J161="Cancelado"),"",24*IF(OR(J161="Fechado",J161="Resolvido"),O161-B161,Listas!$B$18-B161))</x:f>
      </x:c>
      <x:c r="R161" s="57" t="str">
        <x:f>IF(OR(A161="",X161&lt;&gt;"",J161="Cancelado"),"",INT(IF(OR(J161="Fechado",J161="Resolvido"),O161-B161,Listas!$B$18-B161)))</x:f>
      </x:c>
      <x:c r="S161" s="58"/>
      <x:c r="T161" s="58"/>
      <x:c r="U161" s="57" t="str">
        <x:f>IF(OR(A161="",X161&lt;&gt;"",J161="Cancelado"),"",S161*T161)</x:f>
      </x:c>
      <x:c r="V161" s="55" t="str">
        <x:f>IF(A161="","",IF(X161&lt;&gt;"","CORRIGIR DADOS",IF(J161="Cancelado","CANCELADO",IF(OR(J161="Fechado",J161="Resolvido"),"CONCLUÍDO",IF(OR(P161="ATRASADO",U161&gt;=Listas!$B$16),"ESCALAR",IF(AND(M161="ATRASADO",L161=""),"RESPONDER AGORA",IF(R161&gt;=Listas!$B$14,"REVISAR BACKLOG","ACOMPANHAR")))))))</x:f>
      </x:c>
      <x:c r="W161" s="28"/>
      <x:c r="X161" s="194" t="str">
        <x:f>IF(COUNTA(A161:J161,L161,O161,S161:T161,W161)=0,"",IF(OR(NOT(ISNUMBER(Listas!$B$14)),Listas!$B$14&lt;0,NOT(ISNUMBER(Listas!$B$16)),Listas!$B$16&lt;1,COUNT(Listas!$B$6:$C$9)&lt;&gt;8,MIN(Listas!$B$6:$C$9)&lt;=0),"Parâmetros inválidos",IF(A161="","ID ausente",IF(COUNTIFS($A$5:$A$204,A161)&lt;&gt;1,"ID duplicado",IF(OR(NOT(ISNUMBER(B161)),B161&lt;=0),"Abertura inválida",IF(OR(NOT(ISNUMBER(Listas!$B$18)),Listas!$B$18&lt;=0),"Data da análise inválida",IF(B161&gt;Listas!$B$18,"Abertura após análise",IF(COUNTIFS(Listas!$A$6:$A$9,H161)&lt;&gt;1,"Prioridade inválida",IF(COUNTIFS(Equipe!$A$5:$A$12,I161)&lt;&gt;1,"Responsável inválido",IF(COUNTIFS(Listas!$E$6:$E$11,J161)&lt;&gt;1,"Status inválido",IF(AND(L161&lt;&gt;"",OR(NOT(ISNUMBER(L161)),L161&lt;B161,L161&gt;Listas!$B$18)),"Resposta inválida",IF(AND(O161&lt;&gt;"",OR(NOT(ISNUMBER(O161)),O161&lt;B161,O161&gt;Listas!$B$18)),"Resolução inválida",IF(AND(OR(J161="Fechado",J161="Resolvido"),O161=""),"Conclusão sem resolução",IF(OR(NOT(ISNUMBER(S161)),S161&lt;1,S161&gt;5,IF(ISNUMBER(S161),S161&lt;&gt;INT(S161),FALSE),NOT(ISNUMBER(T161)),T161&lt;1,T161&gt;5,IF(ISNUMBER(T161),T161&lt;&gt;INT(T161),FALSE)),"Impacto ou urgência inválido",""))))))))))))))</x:f>
      </x:c>
      <x:c r="Y161" s="194" t="n">
        <x:f>IF(AND(COUNTA(A161:J161,L161,O161,S161:T161,W161)&gt;0,OR(Listas!$B$20="Todos",I161=Listas!$B$20)),1,0)</x:f>
        <x:v>0</x:v>
      </x:c>
      <x:c r="Z161" s="194" t="n">
        <x:f>IF(AND(Y161=1,X161="",J161&lt;&gt;"Cancelado",NOT(OR(J161="Fechado",J161="Resolvido"))),1,0)</x:f>
        <x:v>0</x:v>
      </x:c>
      <x:c r="AA161" s="194" t="n">
        <x:f>IF(AND(Y161=1,X161="",OR(J161="Fechado",J161="Resolvido")),1,0)</x:f>
        <x:v>0</x:v>
      </x:c>
      <x:c r="AB161" s="194" t="n">
        <x:f>IF(Y161=0,0,IF(X161&lt;&gt;"",1,IF(Z161=0,0,IF(P161="ATRASADO",2,IF(AND(M161="ATRASADO",L161=""),3,IF(V161="ESCALAR",4,IF(V161="REVISAR BACKLOG",5,0)))))))</x:f>
        <x:v>0</x:v>
      </x:c>
      <x:c r="AC161" s="194" t="str">
        <x:f>IF(AB161=0,"",COUNTIFS($AB$5:$AB$204,"&gt;0",$AB$5:$AB$204,"&lt;"&amp;AB161)+COUNTIFS($AB$5:AB161,AB161))</x:f>
      </x:c>
      <x:c r="AD161" s="194" t="n">
        <x:f>IF(AND(A161&lt;&gt;"",X161=""),1,0)</x:f>
        <x:v>0</x:v>
      </x:c>
      <x:c r="AE161" s="194" t="n">
        <x:f>IF(AND(Y161=1,X161&lt;&gt;""),1,0)</x:f>
        <x:v>0</x:v>
      </x:c>
      <x:c r="AF161" s="194" t="n">
        <x:f>IF(L161="",1,0)</x:f>
        <x:v>1</x:v>
      </x:c>
    </x:row>
    <x:row r="162">
      <x:c r="A162" s="28"/>
      <x:c r="B162" s="41"/>
      <x:c r="C162" s="28"/>
      <x:c r="D162" s="28"/>
      <x:c r="E162" s="28"/>
      <x:c r="F162" s="28"/>
      <x:c r="G162" s="28"/>
      <x:c r="H162" s="28"/>
      <x:c r="I162" s="28"/>
      <x:c r="J162" s="28"/>
      <x:c r="K162" s="54" t="str">
        <x:f>IF(OR(A162="",X162&lt;&gt;""),"",B162+INDEX(Listas!$B$6:$B$9,MATCH(H162,Listas!$A$6:$A$9,0))/24)</x:f>
      </x:c>
      <x:c r="L162" s="41"/>
      <x:c r="M162" s="55" t="str">
        <x:f>IF(A162="","",IF(X162&lt;&gt;"","DADO PENDENTE",IF(J162="Cancelado","N.A.",IF(L162&lt;&gt;"",IF(L162&lt;=K162,"ATENDIDO","ATRASADO"),IF(OR(J162="Fechado",J162="Resolvido"),"SEM EVIDÊNCIA",IF(Listas!$B$18&gt;K162,"ATRASADO","PENDENTE"))))))</x:f>
      </x:c>
      <x:c r="N162" s="54" t="str">
        <x:f>IF(OR(A162="",X162&lt;&gt;""),"",B162+INDEX(Listas!$C$6:$C$9,MATCH(H162,Listas!$A$6:$A$9,0))/24)</x:f>
      </x:c>
      <x:c r="O162" s="41"/>
      <x:c r="P162" s="55" t="str">
        <x:f>IF(A162="","",IF(X162&lt;&gt;"","DADO PENDENTE",IF(J162="Cancelado","N.A.",IF(OR(J162="Fechado",J162="Resolvido"),IF(O162&lt;=N162,"ATENDIDO","ATRASADO"),IF(Listas!$B$18&gt;N162,"ATRASADO","PENDENTE")))))</x:f>
      </x:c>
      <x:c r="Q162" s="56" t="str">
        <x:f>IF(OR(A162="",X162&lt;&gt;"",J162="Cancelado"),"",24*IF(OR(J162="Fechado",J162="Resolvido"),O162-B162,Listas!$B$18-B162))</x:f>
      </x:c>
      <x:c r="R162" s="57" t="str">
        <x:f>IF(OR(A162="",X162&lt;&gt;"",J162="Cancelado"),"",INT(IF(OR(J162="Fechado",J162="Resolvido"),O162-B162,Listas!$B$18-B162)))</x:f>
      </x:c>
      <x:c r="S162" s="58"/>
      <x:c r="T162" s="58"/>
      <x:c r="U162" s="57" t="str">
        <x:f>IF(OR(A162="",X162&lt;&gt;"",J162="Cancelado"),"",S162*T162)</x:f>
      </x:c>
      <x:c r="V162" s="55" t="str">
        <x:f>IF(A162="","",IF(X162&lt;&gt;"","CORRIGIR DADOS",IF(J162="Cancelado","CANCELADO",IF(OR(J162="Fechado",J162="Resolvido"),"CONCLUÍDO",IF(OR(P162="ATRASADO",U162&gt;=Listas!$B$16),"ESCALAR",IF(AND(M162="ATRASADO",L162=""),"RESPONDER AGORA",IF(R162&gt;=Listas!$B$14,"REVISAR BACKLOG","ACOMPANHAR")))))))</x:f>
      </x:c>
      <x:c r="W162" s="28"/>
      <x:c r="X162" s="194" t="str">
        <x:f>IF(COUNTA(A162:J162,L162,O162,S162:T162,W162)=0,"",IF(OR(NOT(ISNUMBER(Listas!$B$14)),Listas!$B$14&lt;0,NOT(ISNUMBER(Listas!$B$16)),Listas!$B$16&lt;1,COUNT(Listas!$B$6:$C$9)&lt;&gt;8,MIN(Listas!$B$6:$C$9)&lt;=0),"Parâmetros inválidos",IF(A162="","ID ausente",IF(COUNTIFS($A$5:$A$204,A162)&lt;&gt;1,"ID duplicado",IF(OR(NOT(ISNUMBER(B162)),B162&lt;=0),"Abertura inválida",IF(OR(NOT(ISNUMBER(Listas!$B$18)),Listas!$B$18&lt;=0),"Data da análise inválida",IF(B162&gt;Listas!$B$18,"Abertura após análise",IF(COUNTIFS(Listas!$A$6:$A$9,H162)&lt;&gt;1,"Prioridade inválida",IF(COUNTIFS(Equipe!$A$5:$A$12,I162)&lt;&gt;1,"Responsável inválido",IF(COUNTIFS(Listas!$E$6:$E$11,J162)&lt;&gt;1,"Status inválido",IF(AND(L162&lt;&gt;"",OR(NOT(ISNUMBER(L162)),L162&lt;B162,L162&gt;Listas!$B$18)),"Resposta inválida",IF(AND(O162&lt;&gt;"",OR(NOT(ISNUMBER(O162)),O162&lt;B162,O162&gt;Listas!$B$18)),"Resolução inválida",IF(AND(OR(J162="Fechado",J162="Resolvido"),O162=""),"Conclusão sem resolução",IF(OR(NOT(ISNUMBER(S162)),S162&lt;1,S162&gt;5,IF(ISNUMBER(S162),S162&lt;&gt;INT(S162),FALSE),NOT(ISNUMBER(T162)),T162&lt;1,T162&gt;5,IF(ISNUMBER(T162),T162&lt;&gt;INT(T162),FALSE)),"Impacto ou urgência inválido",""))))))))))))))</x:f>
      </x:c>
      <x:c r="Y162" s="194" t="n">
        <x:f>IF(AND(COUNTA(A162:J162,L162,O162,S162:T162,W162)&gt;0,OR(Listas!$B$20="Todos",I162=Listas!$B$20)),1,0)</x:f>
        <x:v>0</x:v>
      </x:c>
      <x:c r="Z162" s="194" t="n">
        <x:f>IF(AND(Y162=1,X162="",J162&lt;&gt;"Cancelado",NOT(OR(J162="Fechado",J162="Resolvido"))),1,0)</x:f>
        <x:v>0</x:v>
      </x:c>
      <x:c r="AA162" s="194" t="n">
        <x:f>IF(AND(Y162=1,X162="",OR(J162="Fechado",J162="Resolvido")),1,0)</x:f>
        <x:v>0</x:v>
      </x:c>
      <x:c r="AB162" s="194" t="n">
        <x:f>IF(Y162=0,0,IF(X162&lt;&gt;"",1,IF(Z162=0,0,IF(P162="ATRASADO",2,IF(AND(M162="ATRASADO",L162=""),3,IF(V162="ESCALAR",4,IF(V162="REVISAR BACKLOG",5,0)))))))</x:f>
        <x:v>0</x:v>
      </x:c>
      <x:c r="AC162" s="194" t="str">
        <x:f>IF(AB162=0,"",COUNTIFS($AB$5:$AB$204,"&gt;0",$AB$5:$AB$204,"&lt;"&amp;AB162)+COUNTIFS($AB$5:AB162,AB162))</x:f>
      </x:c>
      <x:c r="AD162" s="194" t="n">
        <x:f>IF(AND(A162&lt;&gt;"",X162=""),1,0)</x:f>
        <x:v>0</x:v>
      </x:c>
      <x:c r="AE162" s="194" t="n">
        <x:f>IF(AND(Y162=1,X162&lt;&gt;""),1,0)</x:f>
        <x:v>0</x:v>
      </x:c>
      <x:c r="AF162" s="194" t="n">
        <x:f>IF(L162="",1,0)</x:f>
        <x:v>1</x:v>
      </x:c>
    </x:row>
    <x:row r="163">
      <x:c r="A163" s="28"/>
      <x:c r="B163" s="41"/>
      <x:c r="C163" s="28"/>
      <x:c r="D163" s="28"/>
      <x:c r="E163" s="28"/>
      <x:c r="F163" s="28"/>
      <x:c r="G163" s="28"/>
      <x:c r="H163" s="28"/>
      <x:c r="I163" s="28"/>
      <x:c r="J163" s="28"/>
      <x:c r="K163" s="54" t="str">
        <x:f>IF(OR(A163="",X163&lt;&gt;""),"",B163+INDEX(Listas!$B$6:$B$9,MATCH(H163,Listas!$A$6:$A$9,0))/24)</x:f>
      </x:c>
      <x:c r="L163" s="41"/>
      <x:c r="M163" s="55" t="str">
        <x:f>IF(A163="","",IF(X163&lt;&gt;"","DADO PENDENTE",IF(J163="Cancelado","N.A.",IF(L163&lt;&gt;"",IF(L163&lt;=K163,"ATENDIDO","ATRASADO"),IF(OR(J163="Fechado",J163="Resolvido"),"SEM EVIDÊNCIA",IF(Listas!$B$18&gt;K163,"ATRASADO","PENDENTE"))))))</x:f>
      </x:c>
      <x:c r="N163" s="54" t="str">
        <x:f>IF(OR(A163="",X163&lt;&gt;""),"",B163+INDEX(Listas!$C$6:$C$9,MATCH(H163,Listas!$A$6:$A$9,0))/24)</x:f>
      </x:c>
      <x:c r="O163" s="41"/>
      <x:c r="P163" s="55" t="str">
        <x:f>IF(A163="","",IF(X163&lt;&gt;"","DADO PENDENTE",IF(J163="Cancelado","N.A.",IF(OR(J163="Fechado",J163="Resolvido"),IF(O163&lt;=N163,"ATENDIDO","ATRASADO"),IF(Listas!$B$18&gt;N163,"ATRASADO","PENDENTE")))))</x:f>
      </x:c>
      <x:c r="Q163" s="56" t="str">
        <x:f>IF(OR(A163="",X163&lt;&gt;"",J163="Cancelado"),"",24*IF(OR(J163="Fechado",J163="Resolvido"),O163-B163,Listas!$B$18-B163))</x:f>
      </x:c>
      <x:c r="R163" s="57" t="str">
        <x:f>IF(OR(A163="",X163&lt;&gt;"",J163="Cancelado"),"",INT(IF(OR(J163="Fechado",J163="Resolvido"),O163-B163,Listas!$B$18-B163)))</x:f>
      </x:c>
      <x:c r="S163" s="58"/>
      <x:c r="T163" s="58"/>
      <x:c r="U163" s="57" t="str">
        <x:f>IF(OR(A163="",X163&lt;&gt;"",J163="Cancelado"),"",S163*T163)</x:f>
      </x:c>
      <x:c r="V163" s="55" t="str">
        <x:f>IF(A163="","",IF(X163&lt;&gt;"","CORRIGIR DADOS",IF(J163="Cancelado","CANCELADO",IF(OR(J163="Fechado",J163="Resolvido"),"CONCLUÍDO",IF(OR(P163="ATRASADO",U163&gt;=Listas!$B$16),"ESCALAR",IF(AND(M163="ATRASADO",L163=""),"RESPONDER AGORA",IF(R163&gt;=Listas!$B$14,"REVISAR BACKLOG","ACOMPANHAR")))))))</x:f>
      </x:c>
      <x:c r="W163" s="28"/>
      <x:c r="X163" s="194" t="str">
        <x:f>IF(COUNTA(A163:J163,L163,O163,S163:T163,W163)=0,"",IF(OR(NOT(ISNUMBER(Listas!$B$14)),Listas!$B$14&lt;0,NOT(ISNUMBER(Listas!$B$16)),Listas!$B$16&lt;1,COUNT(Listas!$B$6:$C$9)&lt;&gt;8,MIN(Listas!$B$6:$C$9)&lt;=0),"Parâmetros inválidos",IF(A163="","ID ausente",IF(COUNTIFS($A$5:$A$204,A163)&lt;&gt;1,"ID duplicado",IF(OR(NOT(ISNUMBER(B163)),B163&lt;=0),"Abertura inválida",IF(OR(NOT(ISNUMBER(Listas!$B$18)),Listas!$B$18&lt;=0),"Data da análise inválida",IF(B163&gt;Listas!$B$18,"Abertura após análise",IF(COUNTIFS(Listas!$A$6:$A$9,H163)&lt;&gt;1,"Prioridade inválida",IF(COUNTIFS(Equipe!$A$5:$A$12,I163)&lt;&gt;1,"Responsável inválido",IF(COUNTIFS(Listas!$E$6:$E$11,J163)&lt;&gt;1,"Status inválido",IF(AND(L163&lt;&gt;"",OR(NOT(ISNUMBER(L163)),L163&lt;B163,L163&gt;Listas!$B$18)),"Resposta inválida",IF(AND(O163&lt;&gt;"",OR(NOT(ISNUMBER(O163)),O163&lt;B163,O163&gt;Listas!$B$18)),"Resolução inválida",IF(AND(OR(J163="Fechado",J163="Resolvido"),O163=""),"Conclusão sem resolução",IF(OR(NOT(ISNUMBER(S163)),S163&lt;1,S163&gt;5,IF(ISNUMBER(S163),S163&lt;&gt;INT(S163),FALSE),NOT(ISNUMBER(T163)),T163&lt;1,T163&gt;5,IF(ISNUMBER(T163),T163&lt;&gt;INT(T163),FALSE)),"Impacto ou urgência inválido",""))))))))))))))</x:f>
      </x:c>
      <x:c r="Y163" s="194" t="n">
        <x:f>IF(AND(COUNTA(A163:J163,L163,O163,S163:T163,W163)&gt;0,OR(Listas!$B$20="Todos",I163=Listas!$B$20)),1,0)</x:f>
        <x:v>0</x:v>
      </x:c>
      <x:c r="Z163" s="194" t="n">
        <x:f>IF(AND(Y163=1,X163="",J163&lt;&gt;"Cancelado",NOT(OR(J163="Fechado",J163="Resolvido"))),1,0)</x:f>
        <x:v>0</x:v>
      </x:c>
      <x:c r="AA163" s="194" t="n">
        <x:f>IF(AND(Y163=1,X163="",OR(J163="Fechado",J163="Resolvido")),1,0)</x:f>
        <x:v>0</x:v>
      </x:c>
      <x:c r="AB163" s="194" t="n">
        <x:f>IF(Y163=0,0,IF(X163&lt;&gt;"",1,IF(Z163=0,0,IF(P163="ATRASADO",2,IF(AND(M163="ATRASADO",L163=""),3,IF(V163="ESCALAR",4,IF(V163="REVISAR BACKLOG",5,0)))))))</x:f>
        <x:v>0</x:v>
      </x:c>
      <x:c r="AC163" s="194" t="str">
        <x:f>IF(AB163=0,"",COUNTIFS($AB$5:$AB$204,"&gt;0",$AB$5:$AB$204,"&lt;"&amp;AB163)+COUNTIFS($AB$5:AB163,AB163))</x:f>
      </x:c>
      <x:c r="AD163" s="194" t="n">
        <x:f>IF(AND(A163&lt;&gt;"",X163=""),1,0)</x:f>
        <x:v>0</x:v>
      </x:c>
      <x:c r="AE163" s="194" t="n">
        <x:f>IF(AND(Y163=1,X163&lt;&gt;""),1,0)</x:f>
        <x:v>0</x:v>
      </x:c>
      <x:c r="AF163" s="194" t="n">
        <x:f>IF(L163="",1,0)</x:f>
        <x:v>1</x:v>
      </x:c>
    </x:row>
    <x:row r="164">
      <x:c r="A164" s="28"/>
      <x:c r="B164" s="41"/>
      <x:c r="C164" s="28"/>
      <x:c r="D164" s="28"/>
      <x:c r="E164" s="28"/>
      <x:c r="F164" s="28"/>
      <x:c r="G164" s="28"/>
      <x:c r="H164" s="28"/>
      <x:c r="I164" s="28"/>
      <x:c r="J164" s="28"/>
      <x:c r="K164" s="54" t="str">
        <x:f>IF(OR(A164="",X164&lt;&gt;""),"",B164+INDEX(Listas!$B$6:$B$9,MATCH(H164,Listas!$A$6:$A$9,0))/24)</x:f>
      </x:c>
      <x:c r="L164" s="41"/>
      <x:c r="M164" s="55" t="str">
        <x:f>IF(A164="","",IF(X164&lt;&gt;"","DADO PENDENTE",IF(J164="Cancelado","N.A.",IF(L164&lt;&gt;"",IF(L164&lt;=K164,"ATENDIDO","ATRASADO"),IF(OR(J164="Fechado",J164="Resolvido"),"SEM EVIDÊNCIA",IF(Listas!$B$18&gt;K164,"ATRASADO","PENDENTE"))))))</x:f>
      </x:c>
      <x:c r="N164" s="54" t="str">
        <x:f>IF(OR(A164="",X164&lt;&gt;""),"",B164+INDEX(Listas!$C$6:$C$9,MATCH(H164,Listas!$A$6:$A$9,0))/24)</x:f>
      </x:c>
      <x:c r="O164" s="41"/>
      <x:c r="P164" s="55" t="str">
        <x:f>IF(A164="","",IF(X164&lt;&gt;"","DADO PENDENTE",IF(J164="Cancelado","N.A.",IF(OR(J164="Fechado",J164="Resolvido"),IF(O164&lt;=N164,"ATENDIDO","ATRASADO"),IF(Listas!$B$18&gt;N164,"ATRASADO","PENDENTE")))))</x:f>
      </x:c>
      <x:c r="Q164" s="56" t="str">
        <x:f>IF(OR(A164="",X164&lt;&gt;"",J164="Cancelado"),"",24*IF(OR(J164="Fechado",J164="Resolvido"),O164-B164,Listas!$B$18-B164))</x:f>
      </x:c>
      <x:c r="R164" s="57" t="str">
        <x:f>IF(OR(A164="",X164&lt;&gt;"",J164="Cancelado"),"",INT(IF(OR(J164="Fechado",J164="Resolvido"),O164-B164,Listas!$B$18-B164)))</x:f>
      </x:c>
      <x:c r="S164" s="58"/>
      <x:c r="T164" s="58"/>
      <x:c r="U164" s="57" t="str">
        <x:f>IF(OR(A164="",X164&lt;&gt;"",J164="Cancelado"),"",S164*T164)</x:f>
      </x:c>
      <x:c r="V164" s="55" t="str">
        <x:f>IF(A164="","",IF(X164&lt;&gt;"","CORRIGIR DADOS",IF(J164="Cancelado","CANCELADO",IF(OR(J164="Fechado",J164="Resolvido"),"CONCLUÍDO",IF(OR(P164="ATRASADO",U164&gt;=Listas!$B$16),"ESCALAR",IF(AND(M164="ATRASADO",L164=""),"RESPONDER AGORA",IF(R164&gt;=Listas!$B$14,"REVISAR BACKLOG","ACOMPANHAR")))))))</x:f>
      </x:c>
      <x:c r="W164" s="28"/>
      <x:c r="X164" s="194" t="str">
        <x:f>IF(COUNTA(A164:J164,L164,O164,S164:T164,W164)=0,"",IF(OR(NOT(ISNUMBER(Listas!$B$14)),Listas!$B$14&lt;0,NOT(ISNUMBER(Listas!$B$16)),Listas!$B$16&lt;1,COUNT(Listas!$B$6:$C$9)&lt;&gt;8,MIN(Listas!$B$6:$C$9)&lt;=0),"Parâmetros inválidos",IF(A164="","ID ausente",IF(COUNTIFS($A$5:$A$204,A164)&lt;&gt;1,"ID duplicado",IF(OR(NOT(ISNUMBER(B164)),B164&lt;=0),"Abertura inválida",IF(OR(NOT(ISNUMBER(Listas!$B$18)),Listas!$B$18&lt;=0),"Data da análise inválida",IF(B164&gt;Listas!$B$18,"Abertura após análise",IF(COUNTIFS(Listas!$A$6:$A$9,H164)&lt;&gt;1,"Prioridade inválida",IF(COUNTIFS(Equipe!$A$5:$A$12,I164)&lt;&gt;1,"Responsável inválido",IF(COUNTIFS(Listas!$E$6:$E$11,J164)&lt;&gt;1,"Status inválido",IF(AND(L164&lt;&gt;"",OR(NOT(ISNUMBER(L164)),L164&lt;B164,L164&gt;Listas!$B$18)),"Resposta inválida",IF(AND(O164&lt;&gt;"",OR(NOT(ISNUMBER(O164)),O164&lt;B164,O164&gt;Listas!$B$18)),"Resolução inválida",IF(AND(OR(J164="Fechado",J164="Resolvido"),O164=""),"Conclusão sem resolução",IF(OR(NOT(ISNUMBER(S164)),S164&lt;1,S164&gt;5,IF(ISNUMBER(S164),S164&lt;&gt;INT(S164),FALSE),NOT(ISNUMBER(T164)),T164&lt;1,T164&gt;5,IF(ISNUMBER(T164),T164&lt;&gt;INT(T164),FALSE)),"Impacto ou urgência inválido",""))))))))))))))</x:f>
      </x:c>
      <x:c r="Y164" s="194" t="n">
        <x:f>IF(AND(COUNTA(A164:J164,L164,O164,S164:T164,W164)&gt;0,OR(Listas!$B$20="Todos",I164=Listas!$B$20)),1,0)</x:f>
        <x:v>0</x:v>
      </x:c>
      <x:c r="Z164" s="194" t="n">
        <x:f>IF(AND(Y164=1,X164="",J164&lt;&gt;"Cancelado",NOT(OR(J164="Fechado",J164="Resolvido"))),1,0)</x:f>
        <x:v>0</x:v>
      </x:c>
      <x:c r="AA164" s="194" t="n">
        <x:f>IF(AND(Y164=1,X164="",OR(J164="Fechado",J164="Resolvido")),1,0)</x:f>
        <x:v>0</x:v>
      </x:c>
      <x:c r="AB164" s="194" t="n">
        <x:f>IF(Y164=0,0,IF(X164&lt;&gt;"",1,IF(Z164=0,0,IF(P164="ATRASADO",2,IF(AND(M164="ATRASADO",L164=""),3,IF(V164="ESCALAR",4,IF(V164="REVISAR BACKLOG",5,0)))))))</x:f>
        <x:v>0</x:v>
      </x:c>
      <x:c r="AC164" s="194" t="str">
        <x:f>IF(AB164=0,"",COUNTIFS($AB$5:$AB$204,"&gt;0",$AB$5:$AB$204,"&lt;"&amp;AB164)+COUNTIFS($AB$5:AB164,AB164))</x:f>
      </x:c>
      <x:c r="AD164" s="194" t="n">
        <x:f>IF(AND(A164&lt;&gt;"",X164=""),1,0)</x:f>
        <x:v>0</x:v>
      </x:c>
      <x:c r="AE164" s="194" t="n">
        <x:f>IF(AND(Y164=1,X164&lt;&gt;""),1,0)</x:f>
        <x:v>0</x:v>
      </x:c>
      <x:c r="AF164" s="194" t="n">
        <x:f>IF(L164="",1,0)</x:f>
        <x:v>1</x:v>
      </x:c>
    </x:row>
    <x:row r="165">
      <x:c r="A165" s="28"/>
      <x:c r="B165" s="41"/>
      <x:c r="C165" s="28"/>
      <x:c r="D165" s="28"/>
      <x:c r="E165" s="28"/>
      <x:c r="F165" s="28"/>
      <x:c r="G165" s="28"/>
      <x:c r="H165" s="28"/>
      <x:c r="I165" s="28"/>
      <x:c r="J165" s="28"/>
      <x:c r="K165" s="54" t="str">
        <x:f>IF(OR(A165="",X165&lt;&gt;""),"",B165+INDEX(Listas!$B$6:$B$9,MATCH(H165,Listas!$A$6:$A$9,0))/24)</x:f>
      </x:c>
      <x:c r="L165" s="41"/>
      <x:c r="M165" s="55" t="str">
        <x:f>IF(A165="","",IF(X165&lt;&gt;"","DADO PENDENTE",IF(J165="Cancelado","N.A.",IF(L165&lt;&gt;"",IF(L165&lt;=K165,"ATENDIDO","ATRASADO"),IF(OR(J165="Fechado",J165="Resolvido"),"SEM EVIDÊNCIA",IF(Listas!$B$18&gt;K165,"ATRASADO","PENDENTE"))))))</x:f>
      </x:c>
      <x:c r="N165" s="54" t="str">
        <x:f>IF(OR(A165="",X165&lt;&gt;""),"",B165+INDEX(Listas!$C$6:$C$9,MATCH(H165,Listas!$A$6:$A$9,0))/24)</x:f>
      </x:c>
      <x:c r="O165" s="41"/>
      <x:c r="P165" s="55" t="str">
        <x:f>IF(A165="","",IF(X165&lt;&gt;"","DADO PENDENTE",IF(J165="Cancelado","N.A.",IF(OR(J165="Fechado",J165="Resolvido"),IF(O165&lt;=N165,"ATENDIDO","ATRASADO"),IF(Listas!$B$18&gt;N165,"ATRASADO","PENDENTE")))))</x:f>
      </x:c>
      <x:c r="Q165" s="56" t="str">
        <x:f>IF(OR(A165="",X165&lt;&gt;"",J165="Cancelado"),"",24*IF(OR(J165="Fechado",J165="Resolvido"),O165-B165,Listas!$B$18-B165))</x:f>
      </x:c>
      <x:c r="R165" s="57" t="str">
        <x:f>IF(OR(A165="",X165&lt;&gt;"",J165="Cancelado"),"",INT(IF(OR(J165="Fechado",J165="Resolvido"),O165-B165,Listas!$B$18-B165)))</x:f>
      </x:c>
      <x:c r="S165" s="58"/>
      <x:c r="T165" s="58"/>
      <x:c r="U165" s="57" t="str">
        <x:f>IF(OR(A165="",X165&lt;&gt;"",J165="Cancelado"),"",S165*T165)</x:f>
      </x:c>
      <x:c r="V165" s="55" t="str">
        <x:f>IF(A165="","",IF(X165&lt;&gt;"","CORRIGIR DADOS",IF(J165="Cancelado","CANCELADO",IF(OR(J165="Fechado",J165="Resolvido"),"CONCLUÍDO",IF(OR(P165="ATRASADO",U165&gt;=Listas!$B$16),"ESCALAR",IF(AND(M165="ATRASADO",L165=""),"RESPONDER AGORA",IF(R165&gt;=Listas!$B$14,"REVISAR BACKLOG","ACOMPANHAR")))))))</x:f>
      </x:c>
      <x:c r="W165" s="28"/>
      <x:c r="X165" s="194" t="str">
        <x:f>IF(COUNTA(A165:J165,L165,O165,S165:T165,W165)=0,"",IF(OR(NOT(ISNUMBER(Listas!$B$14)),Listas!$B$14&lt;0,NOT(ISNUMBER(Listas!$B$16)),Listas!$B$16&lt;1,COUNT(Listas!$B$6:$C$9)&lt;&gt;8,MIN(Listas!$B$6:$C$9)&lt;=0),"Parâmetros inválidos",IF(A165="","ID ausente",IF(COUNTIFS($A$5:$A$204,A165)&lt;&gt;1,"ID duplicado",IF(OR(NOT(ISNUMBER(B165)),B165&lt;=0),"Abertura inválida",IF(OR(NOT(ISNUMBER(Listas!$B$18)),Listas!$B$18&lt;=0),"Data da análise inválida",IF(B165&gt;Listas!$B$18,"Abertura após análise",IF(COUNTIFS(Listas!$A$6:$A$9,H165)&lt;&gt;1,"Prioridade inválida",IF(COUNTIFS(Equipe!$A$5:$A$12,I165)&lt;&gt;1,"Responsável inválido",IF(COUNTIFS(Listas!$E$6:$E$11,J165)&lt;&gt;1,"Status inválido",IF(AND(L165&lt;&gt;"",OR(NOT(ISNUMBER(L165)),L165&lt;B165,L165&gt;Listas!$B$18)),"Resposta inválida",IF(AND(O165&lt;&gt;"",OR(NOT(ISNUMBER(O165)),O165&lt;B165,O165&gt;Listas!$B$18)),"Resolução inválida",IF(AND(OR(J165="Fechado",J165="Resolvido"),O165=""),"Conclusão sem resolução",IF(OR(NOT(ISNUMBER(S165)),S165&lt;1,S165&gt;5,IF(ISNUMBER(S165),S165&lt;&gt;INT(S165),FALSE),NOT(ISNUMBER(T165)),T165&lt;1,T165&gt;5,IF(ISNUMBER(T165),T165&lt;&gt;INT(T165),FALSE)),"Impacto ou urgência inválido",""))))))))))))))</x:f>
      </x:c>
      <x:c r="Y165" s="194" t="n">
        <x:f>IF(AND(COUNTA(A165:J165,L165,O165,S165:T165,W165)&gt;0,OR(Listas!$B$20="Todos",I165=Listas!$B$20)),1,0)</x:f>
        <x:v>0</x:v>
      </x:c>
      <x:c r="Z165" s="194" t="n">
        <x:f>IF(AND(Y165=1,X165="",J165&lt;&gt;"Cancelado",NOT(OR(J165="Fechado",J165="Resolvido"))),1,0)</x:f>
        <x:v>0</x:v>
      </x:c>
      <x:c r="AA165" s="194" t="n">
        <x:f>IF(AND(Y165=1,X165="",OR(J165="Fechado",J165="Resolvido")),1,0)</x:f>
        <x:v>0</x:v>
      </x:c>
      <x:c r="AB165" s="194" t="n">
        <x:f>IF(Y165=0,0,IF(X165&lt;&gt;"",1,IF(Z165=0,0,IF(P165="ATRASADO",2,IF(AND(M165="ATRASADO",L165=""),3,IF(V165="ESCALAR",4,IF(V165="REVISAR BACKLOG",5,0)))))))</x:f>
        <x:v>0</x:v>
      </x:c>
      <x:c r="AC165" s="194" t="str">
        <x:f>IF(AB165=0,"",COUNTIFS($AB$5:$AB$204,"&gt;0",$AB$5:$AB$204,"&lt;"&amp;AB165)+COUNTIFS($AB$5:AB165,AB165))</x:f>
      </x:c>
      <x:c r="AD165" s="194" t="n">
        <x:f>IF(AND(A165&lt;&gt;"",X165=""),1,0)</x:f>
        <x:v>0</x:v>
      </x:c>
      <x:c r="AE165" s="194" t="n">
        <x:f>IF(AND(Y165=1,X165&lt;&gt;""),1,0)</x:f>
        <x:v>0</x:v>
      </x:c>
      <x:c r="AF165" s="194" t="n">
        <x:f>IF(L165="",1,0)</x:f>
        <x:v>1</x:v>
      </x:c>
    </x:row>
    <x:row r="166">
      <x:c r="A166" s="28"/>
      <x:c r="B166" s="41"/>
      <x:c r="C166" s="28"/>
      <x:c r="D166" s="28"/>
      <x:c r="E166" s="28"/>
      <x:c r="F166" s="28"/>
      <x:c r="G166" s="28"/>
      <x:c r="H166" s="28"/>
      <x:c r="I166" s="28"/>
      <x:c r="J166" s="28"/>
      <x:c r="K166" s="54" t="str">
        <x:f>IF(OR(A166="",X166&lt;&gt;""),"",B166+INDEX(Listas!$B$6:$B$9,MATCH(H166,Listas!$A$6:$A$9,0))/24)</x:f>
      </x:c>
      <x:c r="L166" s="41"/>
      <x:c r="M166" s="55" t="str">
        <x:f>IF(A166="","",IF(X166&lt;&gt;"","DADO PENDENTE",IF(J166="Cancelado","N.A.",IF(L166&lt;&gt;"",IF(L166&lt;=K166,"ATENDIDO","ATRASADO"),IF(OR(J166="Fechado",J166="Resolvido"),"SEM EVIDÊNCIA",IF(Listas!$B$18&gt;K166,"ATRASADO","PENDENTE"))))))</x:f>
      </x:c>
      <x:c r="N166" s="54" t="str">
        <x:f>IF(OR(A166="",X166&lt;&gt;""),"",B166+INDEX(Listas!$C$6:$C$9,MATCH(H166,Listas!$A$6:$A$9,0))/24)</x:f>
      </x:c>
      <x:c r="O166" s="41"/>
      <x:c r="P166" s="55" t="str">
        <x:f>IF(A166="","",IF(X166&lt;&gt;"","DADO PENDENTE",IF(J166="Cancelado","N.A.",IF(OR(J166="Fechado",J166="Resolvido"),IF(O166&lt;=N166,"ATENDIDO","ATRASADO"),IF(Listas!$B$18&gt;N166,"ATRASADO","PENDENTE")))))</x:f>
      </x:c>
      <x:c r="Q166" s="56" t="str">
        <x:f>IF(OR(A166="",X166&lt;&gt;"",J166="Cancelado"),"",24*IF(OR(J166="Fechado",J166="Resolvido"),O166-B166,Listas!$B$18-B166))</x:f>
      </x:c>
      <x:c r="R166" s="57" t="str">
        <x:f>IF(OR(A166="",X166&lt;&gt;"",J166="Cancelado"),"",INT(IF(OR(J166="Fechado",J166="Resolvido"),O166-B166,Listas!$B$18-B166)))</x:f>
      </x:c>
      <x:c r="S166" s="58"/>
      <x:c r="T166" s="58"/>
      <x:c r="U166" s="57" t="str">
        <x:f>IF(OR(A166="",X166&lt;&gt;"",J166="Cancelado"),"",S166*T166)</x:f>
      </x:c>
      <x:c r="V166" s="55" t="str">
        <x:f>IF(A166="","",IF(X166&lt;&gt;"","CORRIGIR DADOS",IF(J166="Cancelado","CANCELADO",IF(OR(J166="Fechado",J166="Resolvido"),"CONCLUÍDO",IF(OR(P166="ATRASADO",U166&gt;=Listas!$B$16),"ESCALAR",IF(AND(M166="ATRASADO",L166=""),"RESPONDER AGORA",IF(R166&gt;=Listas!$B$14,"REVISAR BACKLOG","ACOMPANHAR")))))))</x:f>
      </x:c>
      <x:c r="W166" s="28"/>
      <x:c r="X166" s="194" t="str">
        <x:f>IF(COUNTA(A166:J166,L166,O166,S166:T166,W166)=0,"",IF(OR(NOT(ISNUMBER(Listas!$B$14)),Listas!$B$14&lt;0,NOT(ISNUMBER(Listas!$B$16)),Listas!$B$16&lt;1,COUNT(Listas!$B$6:$C$9)&lt;&gt;8,MIN(Listas!$B$6:$C$9)&lt;=0),"Parâmetros inválidos",IF(A166="","ID ausente",IF(COUNTIFS($A$5:$A$204,A166)&lt;&gt;1,"ID duplicado",IF(OR(NOT(ISNUMBER(B166)),B166&lt;=0),"Abertura inválida",IF(OR(NOT(ISNUMBER(Listas!$B$18)),Listas!$B$18&lt;=0),"Data da análise inválida",IF(B166&gt;Listas!$B$18,"Abertura após análise",IF(COUNTIFS(Listas!$A$6:$A$9,H166)&lt;&gt;1,"Prioridade inválida",IF(COUNTIFS(Equipe!$A$5:$A$12,I166)&lt;&gt;1,"Responsável inválido",IF(COUNTIFS(Listas!$E$6:$E$11,J166)&lt;&gt;1,"Status inválido",IF(AND(L166&lt;&gt;"",OR(NOT(ISNUMBER(L166)),L166&lt;B166,L166&gt;Listas!$B$18)),"Resposta inválida",IF(AND(O166&lt;&gt;"",OR(NOT(ISNUMBER(O166)),O166&lt;B166,O166&gt;Listas!$B$18)),"Resolução inválida",IF(AND(OR(J166="Fechado",J166="Resolvido"),O166=""),"Conclusão sem resolução",IF(OR(NOT(ISNUMBER(S166)),S166&lt;1,S166&gt;5,IF(ISNUMBER(S166),S166&lt;&gt;INT(S166),FALSE),NOT(ISNUMBER(T166)),T166&lt;1,T166&gt;5,IF(ISNUMBER(T166),T166&lt;&gt;INT(T166),FALSE)),"Impacto ou urgência inválido",""))))))))))))))</x:f>
      </x:c>
      <x:c r="Y166" s="194" t="n">
        <x:f>IF(AND(COUNTA(A166:J166,L166,O166,S166:T166,W166)&gt;0,OR(Listas!$B$20="Todos",I166=Listas!$B$20)),1,0)</x:f>
        <x:v>0</x:v>
      </x:c>
      <x:c r="Z166" s="194" t="n">
        <x:f>IF(AND(Y166=1,X166="",J166&lt;&gt;"Cancelado",NOT(OR(J166="Fechado",J166="Resolvido"))),1,0)</x:f>
        <x:v>0</x:v>
      </x:c>
      <x:c r="AA166" s="194" t="n">
        <x:f>IF(AND(Y166=1,X166="",OR(J166="Fechado",J166="Resolvido")),1,0)</x:f>
        <x:v>0</x:v>
      </x:c>
      <x:c r="AB166" s="194" t="n">
        <x:f>IF(Y166=0,0,IF(X166&lt;&gt;"",1,IF(Z166=0,0,IF(P166="ATRASADO",2,IF(AND(M166="ATRASADO",L166=""),3,IF(V166="ESCALAR",4,IF(V166="REVISAR BACKLOG",5,0)))))))</x:f>
        <x:v>0</x:v>
      </x:c>
      <x:c r="AC166" s="194" t="str">
        <x:f>IF(AB166=0,"",COUNTIFS($AB$5:$AB$204,"&gt;0",$AB$5:$AB$204,"&lt;"&amp;AB166)+COUNTIFS($AB$5:AB166,AB166))</x:f>
      </x:c>
      <x:c r="AD166" s="194" t="n">
        <x:f>IF(AND(A166&lt;&gt;"",X166=""),1,0)</x:f>
        <x:v>0</x:v>
      </x:c>
      <x:c r="AE166" s="194" t="n">
        <x:f>IF(AND(Y166=1,X166&lt;&gt;""),1,0)</x:f>
        <x:v>0</x:v>
      </x:c>
      <x:c r="AF166" s="194" t="n">
        <x:f>IF(L166="",1,0)</x:f>
        <x:v>1</x:v>
      </x:c>
    </x:row>
    <x:row r="167">
      <x:c r="A167" s="28"/>
      <x:c r="B167" s="41"/>
      <x:c r="C167" s="28"/>
      <x:c r="D167" s="28"/>
      <x:c r="E167" s="28"/>
      <x:c r="F167" s="28"/>
      <x:c r="G167" s="28"/>
      <x:c r="H167" s="28"/>
      <x:c r="I167" s="28"/>
      <x:c r="J167" s="28"/>
      <x:c r="K167" s="54" t="str">
        <x:f>IF(OR(A167="",X167&lt;&gt;""),"",B167+INDEX(Listas!$B$6:$B$9,MATCH(H167,Listas!$A$6:$A$9,0))/24)</x:f>
      </x:c>
      <x:c r="L167" s="41"/>
      <x:c r="M167" s="55" t="str">
        <x:f>IF(A167="","",IF(X167&lt;&gt;"","DADO PENDENTE",IF(J167="Cancelado","N.A.",IF(L167&lt;&gt;"",IF(L167&lt;=K167,"ATENDIDO","ATRASADO"),IF(OR(J167="Fechado",J167="Resolvido"),"SEM EVIDÊNCIA",IF(Listas!$B$18&gt;K167,"ATRASADO","PENDENTE"))))))</x:f>
      </x:c>
      <x:c r="N167" s="54" t="str">
        <x:f>IF(OR(A167="",X167&lt;&gt;""),"",B167+INDEX(Listas!$C$6:$C$9,MATCH(H167,Listas!$A$6:$A$9,0))/24)</x:f>
      </x:c>
      <x:c r="O167" s="41"/>
      <x:c r="P167" s="55" t="str">
        <x:f>IF(A167="","",IF(X167&lt;&gt;"","DADO PENDENTE",IF(J167="Cancelado","N.A.",IF(OR(J167="Fechado",J167="Resolvido"),IF(O167&lt;=N167,"ATENDIDO","ATRASADO"),IF(Listas!$B$18&gt;N167,"ATRASADO","PENDENTE")))))</x:f>
      </x:c>
      <x:c r="Q167" s="56" t="str">
        <x:f>IF(OR(A167="",X167&lt;&gt;"",J167="Cancelado"),"",24*IF(OR(J167="Fechado",J167="Resolvido"),O167-B167,Listas!$B$18-B167))</x:f>
      </x:c>
      <x:c r="R167" s="57" t="str">
        <x:f>IF(OR(A167="",X167&lt;&gt;"",J167="Cancelado"),"",INT(IF(OR(J167="Fechado",J167="Resolvido"),O167-B167,Listas!$B$18-B167)))</x:f>
      </x:c>
      <x:c r="S167" s="58"/>
      <x:c r="T167" s="58"/>
      <x:c r="U167" s="57" t="str">
        <x:f>IF(OR(A167="",X167&lt;&gt;"",J167="Cancelado"),"",S167*T167)</x:f>
      </x:c>
      <x:c r="V167" s="55" t="str">
        <x:f>IF(A167="","",IF(X167&lt;&gt;"","CORRIGIR DADOS",IF(J167="Cancelado","CANCELADO",IF(OR(J167="Fechado",J167="Resolvido"),"CONCLUÍDO",IF(OR(P167="ATRASADO",U167&gt;=Listas!$B$16),"ESCALAR",IF(AND(M167="ATRASADO",L167=""),"RESPONDER AGORA",IF(R167&gt;=Listas!$B$14,"REVISAR BACKLOG","ACOMPANHAR")))))))</x:f>
      </x:c>
      <x:c r="W167" s="28"/>
      <x:c r="X167" s="194" t="str">
        <x:f>IF(COUNTA(A167:J167,L167,O167,S167:T167,W167)=0,"",IF(OR(NOT(ISNUMBER(Listas!$B$14)),Listas!$B$14&lt;0,NOT(ISNUMBER(Listas!$B$16)),Listas!$B$16&lt;1,COUNT(Listas!$B$6:$C$9)&lt;&gt;8,MIN(Listas!$B$6:$C$9)&lt;=0),"Parâmetros inválidos",IF(A167="","ID ausente",IF(COUNTIFS($A$5:$A$204,A167)&lt;&gt;1,"ID duplicado",IF(OR(NOT(ISNUMBER(B167)),B167&lt;=0),"Abertura inválida",IF(OR(NOT(ISNUMBER(Listas!$B$18)),Listas!$B$18&lt;=0),"Data da análise inválida",IF(B167&gt;Listas!$B$18,"Abertura após análise",IF(COUNTIFS(Listas!$A$6:$A$9,H167)&lt;&gt;1,"Prioridade inválida",IF(COUNTIFS(Equipe!$A$5:$A$12,I167)&lt;&gt;1,"Responsável inválido",IF(COUNTIFS(Listas!$E$6:$E$11,J167)&lt;&gt;1,"Status inválido",IF(AND(L167&lt;&gt;"",OR(NOT(ISNUMBER(L167)),L167&lt;B167,L167&gt;Listas!$B$18)),"Resposta inválida",IF(AND(O167&lt;&gt;"",OR(NOT(ISNUMBER(O167)),O167&lt;B167,O167&gt;Listas!$B$18)),"Resolução inválida",IF(AND(OR(J167="Fechado",J167="Resolvido"),O167=""),"Conclusão sem resolução",IF(OR(NOT(ISNUMBER(S167)),S167&lt;1,S167&gt;5,IF(ISNUMBER(S167),S167&lt;&gt;INT(S167),FALSE),NOT(ISNUMBER(T167)),T167&lt;1,T167&gt;5,IF(ISNUMBER(T167),T167&lt;&gt;INT(T167),FALSE)),"Impacto ou urgência inválido",""))))))))))))))</x:f>
      </x:c>
      <x:c r="Y167" s="194" t="n">
        <x:f>IF(AND(COUNTA(A167:J167,L167,O167,S167:T167,W167)&gt;0,OR(Listas!$B$20="Todos",I167=Listas!$B$20)),1,0)</x:f>
        <x:v>0</x:v>
      </x:c>
      <x:c r="Z167" s="194" t="n">
        <x:f>IF(AND(Y167=1,X167="",J167&lt;&gt;"Cancelado",NOT(OR(J167="Fechado",J167="Resolvido"))),1,0)</x:f>
        <x:v>0</x:v>
      </x:c>
      <x:c r="AA167" s="194" t="n">
        <x:f>IF(AND(Y167=1,X167="",OR(J167="Fechado",J167="Resolvido")),1,0)</x:f>
        <x:v>0</x:v>
      </x:c>
      <x:c r="AB167" s="194" t="n">
        <x:f>IF(Y167=0,0,IF(X167&lt;&gt;"",1,IF(Z167=0,0,IF(P167="ATRASADO",2,IF(AND(M167="ATRASADO",L167=""),3,IF(V167="ESCALAR",4,IF(V167="REVISAR BACKLOG",5,0)))))))</x:f>
        <x:v>0</x:v>
      </x:c>
      <x:c r="AC167" s="194" t="str">
        <x:f>IF(AB167=0,"",COUNTIFS($AB$5:$AB$204,"&gt;0",$AB$5:$AB$204,"&lt;"&amp;AB167)+COUNTIFS($AB$5:AB167,AB167))</x:f>
      </x:c>
      <x:c r="AD167" s="194" t="n">
        <x:f>IF(AND(A167&lt;&gt;"",X167=""),1,0)</x:f>
        <x:v>0</x:v>
      </x:c>
      <x:c r="AE167" s="194" t="n">
        <x:f>IF(AND(Y167=1,X167&lt;&gt;""),1,0)</x:f>
        <x:v>0</x:v>
      </x:c>
      <x:c r="AF167" s="194" t="n">
        <x:f>IF(L167="",1,0)</x:f>
        <x:v>1</x:v>
      </x:c>
    </x:row>
    <x:row r="168">
      <x:c r="A168" s="28"/>
      <x:c r="B168" s="41"/>
      <x:c r="C168" s="28"/>
      <x:c r="D168" s="28"/>
      <x:c r="E168" s="28"/>
      <x:c r="F168" s="28"/>
      <x:c r="G168" s="28"/>
      <x:c r="H168" s="28"/>
      <x:c r="I168" s="28"/>
      <x:c r="J168" s="28"/>
      <x:c r="K168" s="54" t="str">
        <x:f>IF(OR(A168="",X168&lt;&gt;""),"",B168+INDEX(Listas!$B$6:$B$9,MATCH(H168,Listas!$A$6:$A$9,0))/24)</x:f>
      </x:c>
      <x:c r="L168" s="41"/>
      <x:c r="M168" s="55" t="str">
        <x:f>IF(A168="","",IF(X168&lt;&gt;"","DADO PENDENTE",IF(J168="Cancelado","N.A.",IF(L168&lt;&gt;"",IF(L168&lt;=K168,"ATENDIDO","ATRASADO"),IF(OR(J168="Fechado",J168="Resolvido"),"SEM EVIDÊNCIA",IF(Listas!$B$18&gt;K168,"ATRASADO","PENDENTE"))))))</x:f>
      </x:c>
      <x:c r="N168" s="54" t="str">
        <x:f>IF(OR(A168="",X168&lt;&gt;""),"",B168+INDEX(Listas!$C$6:$C$9,MATCH(H168,Listas!$A$6:$A$9,0))/24)</x:f>
      </x:c>
      <x:c r="O168" s="41"/>
      <x:c r="P168" s="55" t="str">
        <x:f>IF(A168="","",IF(X168&lt;&gt;"","DADO PENDENTE",IF(J168="Cancelado","N.A.",IF(OR(J168="Fechado",J168="Resolvido"),IF(O168&lt;=N168,"ATENDIDO","ATRASADO"),IF(Listas!$B$18&gt;N168,"ATRASADO","PENDENTE")))))</x:f>
      </x:c>
      <x:c r="Q168" s="56" t="str">
        <x:f>IF(OR(A168="",X168&lt;&gt;"",J168="Cancelado"),"",24*IF(OR(J168="Fechado",J168="Resolvido"),O168-B168,Listas!$B$18-B168))</x:f>
      </x:c>
      <x:c r="R168" s="57" t="str">
        <x:f>IF(OR(A168="",X168&lt;&gt;"",J168="Cancelado"),"",INT(IF(OR(J168="Fechado",J168="Resolvido"),O168-B168,Listas!$B$18-B168)))</x:f>
      </x:c>
      <x:c r="S168" s="58"/>
      <x:c r="T168" s="58"/>
      <x:c r="U168" s="57" t="str">
        <x:f>IF(OR(A168="",X168&lt;&gt;"",J168="Cancelado"),"",S168*T168)</x:f>
      </x:c>
      <x:c r="V168" s="55" t="str">
        <x:f>IF(A168="","",IF(X168&lt;&gt;"","CORRIGIR DADOS",IF(J168="Cancelado","CANCELADO",IF(OR(J168="Fechado",J168="Resolvido"),"CONCLUÍDO",IF(OR(P168="ATRASADO",U168&gt;=Listas!$B$16),"ESCALAR",IF(AND(M168="ATRASADO",L168=""),"RESPONDER AGORA",IF(R168&gt;=Listas!$B$14,"REVISAR BACKLOG","ACOMPANHAR")))))))</x:f>
      </x:c>
      <x:c r="W168" s="28"/>
      <x:c r="X168" s="194" t="str">
        <x:f>IF(COUNTA(A168:J168,L168,O168,S168:T168,W168)=0,"",IF(OR(NOT(ISNUMBER(Listas!$B$14)),Listas!$B$14&lt;0,NOT(ISNUMBER(Listas!$B$16)),Listas!$B$16&lt;1,COUNT(Listas!$B$6:$C$9)&lt;&gt;8,MIN(Listas!$B$6:$C$9)&lt;=0),"Parâmetros inválidos",IF(A168="","ID ausente",IF(COUNTIFS($A$5:$A$204,A168)&lt;&gt;1,"ID duplicado",IF(OR(NOT(ISNUMBER(B168)),B168&lt;=0),"Abertura inválida",IF(OR(NOT(ISNUMBER(Listas!$B$18)),Listas!$B$18&lt;=0),"Data da análise inválida",IF(B168&gt;Listas!$B$18,"Abertura após análise",IF(COUNTIFS(Listas!$A$6:$A$9,H168)&lt;&gt;1,"Prioridade inválida",IF(COUNTIFS(Equipe!$A$5:$A$12,I168)&lt;&gt;1,"Responsável inválido",IF(COUNTIFS(Listas!$E$6:$E$11,J168)&lt;&gt;1,"Status inválido",IF(AND(L168&lt;&gt;"",OR(NOT(ISNUMBER(L168)),L168&lt;B168,L168&gt;Listas!$B$18)),"Resposta inválida",IF(AND(O168&lt;&gt;"",OR(NOT(ISNUMBER(O168)),O168&lt;B168,O168&gt;Listas!$B$18)),"Resolução inválida",IF(AND(OR(J168="Fechado",J168="Resolvido"),O168=""),"Conclusão sem resolução",IF(OR(NOT(ISNUMBER(S168)),S168&lt;1,S168&gt;5,IF(ISNUMBER(S168),S168&lt;&gt;INT(S168),FALSE),NOT(ISNUMBER(T168)),T168&lt;1,T168&gt;5,IF(ISNUMBER(T168),T168&lt;&gt;INT(T168),FALSE)),"Impacto ou urgência inválido",""))))))))))))))</x:f>
      </x:c>
      <x:c r="Y168" s="194" t="n">
        <x:f>IF(AND(COUNTA(A168:J168,L168,O168,S168:T168,W168)&gt;0,OR(Listas!$B$20="Todos",I168=Listas!$B$20)),1,0)</x:f>
        <x:v>0</x:v>
      </x:c>
      <x:c r="Z168" s="194" t="n">
        <x:f>IF(AND(Y168=1,X168="",J168&lt;&gt;"Cancelado",NOT(OR(J168="Fechado",J168="Resolvido"))),1,0)</x:f>
        <x:v>0</x:v>
      </x:c>
      <x:c r="AA168" s="194" t="n">
        <x:f>IF(AND(Y168=1,X168="",OR(J168="Fechado",J168="Resolvido")),1,0)</x:f>
        <x:v>0</x:v>
      </x:c>
      <x:c r="AB168" s="194" t="n">
        <x:f>IF(Y168=0,0,IF(X168&lt;&gt;"",1,IF(Z168=0,0,IF(P168="ATRASADO",2,IF(AND(M168="ATRASADO",L168=""),3,IF(V168="ESCALAR",4,IF(V168="REVISAR BACKLOG",5,0)))))))</x:f>
        <x:v>0</x:v>
      </x:c>
      <x:c r="AC168" s="194" t="str">
        <x:f>IF(AB168=0,"",COUNTIFS($AB$5:$AB$204,"&gt;0",$AB$5:$AB$204,"&lt;"&amp;AB168)+COUNTIFS($AB$5:AB168,AB168))</x:f>
      </x:c>
      <x:c r="AD168" s="194" t="n">
        <x:f>IF(AND(A168&lt;&gt;"",X168=""),1,0)</x:f>
        <x:v>0</x:v>
      </x:c>
      <x:c r="AE168" s="194" t="n">
        <x:f>IF(AND(Y168=1,X168&lt;&gt;""),1,0)</x:f>
        <x:v>0</x:v>
      </x:c>
      <x:c r="AF168" s="194" t="n">
        <x:f>IF(L168="",1,0)</x:f>
        <x:v>1</x:v>
      </x:c>
    </x:row>
    <x:row r="169">
      <x:c r="A169" s="28"/>
      <x:c r="B169" s="41"/>
      <x:c r="C169" s="28"/>
      <x:c r="D169" s="28"/>
      <x:c r="E169" s="28"/>
      <x:c r="F169" s="28"/>
      <x:c r="G169" s="28"/>
      <x:c r="H169" s="28"/>
      <x:c r="I169" s="28"/>
      <x:c r="J169" s="28"/>
      <x:c r="K169" s="54" t="str">
        <x:f>IF(OR(A169="",X169&lt;&gt;""),"",B169+INDEX(Listas!$B$6:$B$9,MATCH(H169,Listas!$A$6:$A$9,0))/24)</x:f>
      </x:c>
      <x:c r="L169" s="41"/>
      <x:c r="M169" s="55" t="str">
        <x:f>IF(A169="","",IF(X169&lt;&gt;"","DADO PENDENTE",IF(J169="Cancelado","N.A.",IF(L169&lt;&gt;"",IF(L169&lt;=K169,"ATENDIDO","ATRASADO"),IF(OR(J169="Fechado",J169="Resolvido"),"SEM EVIDÊNCIA",IF(Listas!$B$18&gt;K169,"ATRASADO","PENDENTE"))))))</x:f>
      </x:c>
      <x:c r="N169" s="54" t="str">
        <x:f>IF(OR(A169="",X169&lt;&gt;""),"",B169+INDEX(Listas!$C$6:$C$9,MATCH(H169,Listas!$A$6:$A$9,0))/24)</x:f>
      </x:c>
      <x:c r="O169" s="41"/>
      <x:c r="P169" s="55" t="str">
        <x:f>IF(A169="","",IF(X169&lt;&gt;"","DADO PENDENTE",IF(J169="Cancelado","N.A.",IF(OR(J169="Fechado",J169="Resolvido"),IF(O169&lt;=N169,"ATENDIDO","ATRASADO"),IF(Listas!$B$18&gt;N169,"ATRASADO","PENDENTE")))))</x:f>
      </x:c>
      <x:c r="Q169" s="56" t="str">
        <x:f>IF(OR(A169="",X169&lt;&gt;"",J169="Cancelado"),"",24*IF(OR(J169="Fechado",J169="Resolvido"),O169-B169,Listas!$B$18-B169))</x:f>
      </x:c>
      <x:c r="R169" s="57" t="str">
        <x:f>IF(OR(A169="",X169&lt;&gt;"",J169="Cancelado"),"",INT(IF(OR(J169="Fechado",J169="Resolvido"),O169-B169,Listas!$B$18-B169)))</x:f>
      </x:c>
      <x:c r="S169" s="58"/>
      <x:c r="T169" s="58"/>
      <x:c r="U169" s="57" t="str">
        <x:f>IF(OR(A169="",X169&lt;&gt;"",J169="Cancelado"),"",S169*T169)</x:f>
      </x:c>
      <x:c r="V169" s="55" t="str">
        <x:f>IF(A169="","",IF(X169&lt;&gt;"","CORRIGIR DADOS",IF(J169="Cancelado","CANCELADO",IF(OR(J169="Fechado",J169="Resolvido"),"CONCLUÍDO",IF(OR(P169="ATRASADO",U169&gt;=Listas!$B$16),"ESCALAR",IF(AND(M169="ATRASADO",L169=""),"RESPONDER AGORA",IF(R169&gt;=Listas!$B$14,"REVISAR BACKLOG","ACOMPANHAR")))))))</x:f>
      </x:c>
      <x:c r="W169" s="28"/>
      <x:c r="X169" s="194" t="str">
        <x:f>IF(COUNTA(A169:J169,L169,O169,S169:T169,W169)=0,"",IF(OR(NOT(ISNUMBER(Listas!$B$14)),Listas!$B$14&lt;0,NOT(ISNUMBER(Listas!$B$16)),Listas!$B$16&lt;1,COUNT(Listas!$B$6:$C$9)&lt;&gt;8,MIN(Listas!$B$6:$C$9)&lt;=0),"Parâmetros inválidos",IF(A169="","ID ausente",IF(COUNTIFS($A$5:$A$204,A169)&lt;&gt;1,"ID duplicado",IF(OR(NOT(ISNUMBER(B169)),B169&lt;=0),"Abertura inválida",IF(OR(NOT(ISNUMBER(Listas!$B$18)),Listas!$B$18&lt;=0),"Data da análise inválida",IF(B169&gt;Listas!$B$18,"Abertura após análise",IF(COUNTIFS(Listas!$A$6:$A$9,H169)&lt;&gt;1,"Prioridade inválida",IF(COUNTIFS(Equipe!$A$5:$A$12,I169)&lt;&gt;1,"Responsável inválido",IF(COUNTIFS(Listas!$E$6:$E$11,J169)&lt;&gt;1,"Status inválido",IF(AND(L169&lt;&gt;"",OR(NOT(ISNUMBER(L169)),L169&lt;B169,L169&gt;Listas!$B$18)),"Resposta inválida",IF(AND(O169&lt;&gt;"",OR(NOT(ISNUMBER(O169)),O169&lt;B169,O169&gt;Listas!$B$18)),"Resolução inválida",IF(AND(OR(J169="Fechado",J169="Resolvido"),O169=""),"Conclusão sem resolução",IF(OR(NOT(ISNUMBER(S169)),S169&lt;1,S169&gt;5,IF(ISNUMBER(S169),S169&lt;&gt;INT(S169),FALSE),NOT(ISNUMBER(T169)),T169&lt;1,T169&gt;5,IF(ISNUMBER(T169),T169&lt;&gt;INT(T169),FALSE)),"Impacto ou urgência inválido",""))))))))))))))</x:f>
      </x:c>
      <x:c r="Y169" s="194" t="n">
        <x:f>IF(AND(COUNTA(A169:J169,L169,O169,S169:T169,W169)&gt;0,OR(Listas!$B$20="Todos",I169=Listas!$B$20)),1,0)</x:f>
        <x:v>0</x:v>
      </x:c>
      <x:c r="Z169" s="194" t="n">
        <x:f>IF(AND(Y169=1,X169="",J169&lt;&gt;"Cancelado",NOT(OR(J169="Fechado",J169="Resolvido"))),1,0)</x:f>
        <x:v>0</x:v>
      </x:c>
      <x:c r="AA169" s="194" t="n">
        <x:f>IF(AND(Y169=1,X169="",OR(J169="Fechado",J169="Resolvido")),1,0)</x:f>
        <x:v>0</x:v>
      </x:c>
      <x:c r="AB169" s="194" t="n">
        <x:f>IF(Y169=0,0,IF(X169&lt;&gt;"",1,IF(Z169=0,0,IF(P169="ATRASADO",2,IF(AND(M169="ATRASADO",L169=""),3,IF(V169="ESCALAR",4,IF(V169="REVISAR BACKLOG",5,0)))))))</x:f>
        <x:v>0</x:v>
      </x:c>
      <x:c r="AC169" s="194" t="str">
        <x:f>IF(AB169=0,"",COUNTIFS($AB$5:$AB$204,"&gt;0",$AB$5:$AB$204,"&lt;"&amp;AB169)+COUNTIFS($AB$5:AB169,AB169))</x:f>
      </x:c>
      <x:c r="AD169" s="194" t="n">
        <x:f>IF(AND(A169&lt;&gt;"",X169=""),1,0)</x:f>
        <x:v>0</x:v>
      </x:c>
      <x:c r="AE169" s="194" t="n">
        <x:f>IF(AND(Y169=1,X169&lt;&gt;""),1,0)</x:f>
        <x:v>0</x:v>
      </x:c>
      <x:c r="AF169" s="194" t="n">
        <x:f>IF(L169="",1,0)</x:f>
        <x:v>1</x:v>
      </x:c>
    </x:row>
    <x:row r="170">
      <x:c r="A170" s="28"/>
      <x:c r="B170" s="41"/>
      <x:c r="C170" s="28"/>
      <x:c r="D170" s="28"/>
      <x:c r="E170" s="28"/>
      <x:c r="F170" s="28"/>
      <x:c r="G170" s="28"/>
      <x:c r="H170" s="28"/>
      <x:c r="I170" s="28"/>
      <x:c r="J170" s="28"/>
      <x:c r="K170" s="54" t="str">
        <x:f>IF(OR(A170="",X170&lt;&gt;""),"",B170+INDEX(Listas!$B$6:$B$9,MATCH(H170,Listas!$A$6:$A$9,0))/24)</x:f>
      </x:c>
      <x:c r="L170" s="41"/>
      <x:c r="M170" s="55" t="str">
        <x:f>IF(A170="","",IF(X170&lt;&gt;"","DADO PENDENTE",IF(J170="Cancelado","N.A.",IF(L170&lt;&gt;"",IF(L170&lt;=K170,"ATENDIDO","ATRASADO"),IF(OR(J170="Fechado",J170="Resolvido"),"SEM EVIDÊNCIA",IF(Listas!$B$18&gt;K170,"ATRASADO","PENDENTE"))))))</x:f>
      </x:c>
      <x:c r="N170" s="54" t="str">
        <x:f>IF(OR(A170="",X170&lt;&gt;""),"",B170+INDEX(Listas!$C$6:$C$9,MATCH(H170,Listas!$A$6:$A$9,0))/24)</x:f>
      </x:c>
      <x:c r="O170" s="41"/>
      <x:c r="P170" s="55" t="str">
        <x:f>IF(A170="","",IF(X170&lt;&gt;"","DADO PENDENTE",IF(J170="Cancelado","N.A.",IF(OR(J170="Fechado",J170="Resolvido"),IF(O170&lt;=N170,"ATENDIDO","ATRASADO"),IF(Listas!$B$18&gt;N170,"ATRASADO","PENDENTE")))))</x:f>
      </x:c>
      <x:c r="Q170" s="56" t="str">
        <x:f>IF(OR(A170="",X170&lt;&gt;"",J170="Cancelado"),"",24*IF(OR(J170="Fechado",J170="Resolvido"),O170-B170,Listas!$B$18-B170))</x:f>
      </x:c>
      <x:c r="R170" s="57" t="str">
        <x:f>IF(OR(A170="",X170&lt;&gt;"",J170="Cancelado"),"",INT(IF(OR(J170="Fechado",J170="Resolvido"),O170-B170,Listas!$B$18-B170)))</x:f>
      </x:c>
      <x:c r="S170" s="58"/>
      <x:c r="T170" s="58"/>
      <x:c r="U170" s="57" t="str">
        <x:f>IF(OR(A170="",X170&lt;&gt;"",J170="Cancelado"),"",S170*T170)</x:f>
      </x:c>
      <x:c r="V170" s="55" t="str">
        <x:f>IF(A170="","",IF(X170&lt;&gt;"","CORRIGIR DADOS",IF(J170="Cancelado","CANCELADO",IF(OR(J170="Fechado",J170="Resolvido"),"CONCLUÍDO",IF(OR(P170="ATRASADO",U170&gt;=Listas!$B$16),"ESCALAR",IF(AND(M170="ATRASADO",L170=""),"RESPONDER AGORA",IF(R170&gt;=Listas!$B$14,"REVISAR BACKLOG","ACOMPANHAR")))))))</x:f>
      </x:c>
      <x:c r="W170" s="28"/>
      <x:c r="X170" s="194" t="str">
        <x:f>IF(COUNTA(A170:J170,L170,O170,S170:T170,W170)=0,"",IF(OR(NOT(ISNUMBER(Listas!$B$14)),Listas!$B$14&lt;0,NOT(ISNUMBER(Listas!$B$16)),Listas!$B$16&lt;1,COUNT(Listas!$B$6:$C$9)&lt;&gt;8,MIN(Listas!$B$6:$C$9)&lt;=0),"Parâmetros inválidos",IF(A170="","ID ausente",IF(COUNTIFS($A$5:$A$204,A170)&lt;&gt;1,"ID duplicado",IF(OR(NOT(ISNUMBER(B170)),B170&lt;=0),"Abertura inválida",IF(OR(NOT(ISNUMBER(Listas!$B$18)),Listas!$B$18&lt;=0),"Data da análise inválida",IF(B170&gt;Listas!$B$18,"Abertura após análise",IF(COUNTIFS(Listas!$A$6:$A$9,H170)&lt;&gt;1,"Prioridade inválida",IF(COUNTIFS(Equipe!$A$5:$A$12,I170)&lt;&gt;1,"Responsável inválido",IF(COUNTIFS(Listas!$E$6:$E$11,J170)&lt;&gt;1,"Status inválido",IF(AND(L170&lt;&gt;"",OR(NOT(ISNUMBER(L170)),L170&lt;B170,L170&gt;Listas!$B$18)),"Resposta inválida",IF(AND(O170&lt;&gt;"",OR(NOT(ISNUMBER(O170)),O170&lt;B170,O170&gt;Listas!$B$18)),"Resolução inválida",IF(AND(OR(J170="Fechado",J170="Resolvido"),O170=""),"Conclusão sem resolução",IF(OR(NOT(ISNUMBER(S170)),S170&lt;1,S170&gt;5,IF(ISNUMBER(S170),S170&lt;&gt;INT(S170),FALSE),NOT(ISNUMBER(T170)),T170&lt;1,T170&gt;5,IF(ISNUMBER(T170),T170&lt;&gt;INT(T170),FALSE)),"Impacto ou urgência inválido",""))))))))))))))</x:f>
      </x:c>
      <x:c r="Y170" s="194" t="n">
        <x:f>IF(AND(COUNTA(A170:J170,L170,O170,S170:T170,W170)&gt;0,OR(Listas!$B$20="Todos",I170=Listas!$B$20)),1,0)</x:f>
        <x:v>0</x:v>
      </x:c>
      <x:c r="Z170" s="194" t="n">
        <x:f>IF(AND(Y170=1,X170="",J170&lt;&gt;"Cancelado",NOT(OR(J170="Fechado",J170="Resolvido"))),1,0)</x:f>
        <x:v>0</x:v>
      </x:c>
      <x:c r="AA170" s="194" t="n">
        <x:f>IF(AND(Y170=1,X170="",OR(J170="Fechado",J170="Resolvido")),1,0)</x:f>
        <x:v>0</x:v>
      </x:c>
      <x:c r="AB170" s="194" t="n">
        <x:f>IF(Y170=0,0,IF(X170&lt;&gt;"",1,IF(Z170=0,0,IF(P170="ATRASADO",2,IF(AND(M170="ATRASADO",L170=""),3,IF(V170="ESCALAR",4,IF(V170="REVISAR BACKLOG",5,0)))))))</x:f>
        <x:v>0</x:v>
      </x:c>
      <x:c r="AC170" s="194" t="str">
        <x:f>IF(AB170=0,"",COUNTIFS($AB$5:$AB$204,"&gt;0",$AB$5:$AB$204,"&lt;"&amp;AB170)+COUNTIFS($AB$5:AB170,AB170))</x:f>
      </x:c>
      <x:c r="AD170" s="194" t="n">
        <x:f>IF(AND(A170&lt;&gt;"",X170=""),1,0)</x:f>
        <x:v>0</x:v>
      </x:c>
      <x:c r="AE170" s="194" t="n">
        <x:f>IF(AND(Y170=1,X170&lt;&gt;""),1,0)</x:f>
        <x:v>0</x:v>
      </x:c>
      <x:c r="AF170" s="194" t="n">
        <x:f>IF(L170="",1,0)</x:f>
        <x:v>1</x:v>
      </x:c>
    </x:row>
    <x:row r="171">
      <x:c r="A171" s="28"/>
      <x:c r="B171" s="41"/>
      <x:c r="C171" s="28"/>
      <x:c r="D171" s="28"/>
      <x:c r="E171" s="28"/>
      <x:c r="F171" s="28"/>
      <x:c r="G171" s="28"/>
      <x:c r="H171" s="28"/>
      <x:c r="I171" s="28"/>
      <x:c r="J171" s="28"/>
      <x:c r="K171" s="54" t="str">
        <x:f>IF(OR(A171="",X171&lt;&gt;""),"",B171+INDEX(Listas!$B$6:$B$9,MATCH(H171,Listas!$A$6:$A$9,0))/24)</x:f>
      </x:c>
      <x:c r="L171" s="41"/>
      <x:c r="M171" s="55" t="str">
        <x:f>IF(A171="","",IF(X171&lt;&gt;"","DADO PENDENTE",IF(J171="Cancelado","N.A.",IF(L171&lt;&gt;"",IF(L171&lt;=K171,"ATENDIDO","ATRASADO"),IF(OR(J171="Fechado",J171="Resolvido"),"SEM EVIDÊNCIA",IF(Listas!$B$18&gt;K171,"ATRASADO","PENDENTE"))))))</x:f>
      </x:c>
      <x:c r="N171" s="54" t="str">
        <x:f>IF(OR(A171="",X171&lt;&gt;""),"",B171+INDEX(Listas!$C$6:$C$9,MATCH(H171,Listas!$A$6:$A$9,0))/24)</x:f>
      </x:c>
      <x:c r="O171" s="41"/>
      <x:c r="P171" s="55" t="str">
        <x:f>IF(A171="","",IF(X171&lt;&gt;"","DADO PENDENTE",IF(J171="Cancelado","N.A.",IF(OR(J171="Fechado",J171="Resolvido"),IF(O171&lt;=N171,"ATENDIDO","ATRASADO"),IF(Listas!$B$18&gt;N171,"ATRASADO","PENDENTE")))))</x:f>
      </x:c>
      <x:c r="Q171" s="56" t="str">
        <x:f>IF(OR(A171="",X171&lt;&gt;"",J171="Cancelado"),"",24*IF(OR(J171="Fechado",J171="Resolvido"),O171-B171,Listas!$B$18-B171))</x:f>
      </x:c>
      <x:c r="R171" s="57" t="str">
        <x:f>IF(OR(A171="",X171&lt;&gt;"",J171="Cancelado"),"",INT(IF(OR(J171="Fechado",J171="Resolvido"),O171-B171,Listas!$B$18-B171)))</x:f>
      </x:c>
      <x:c r="S171" s="58"/>
      <x:c r="T171" s="58"/>
      <x:c r="U171" s="57" t="str">
        <x:f>IF(OR(A171="",X171&lt;&gt;"",J171="Cancelado"),"",S171*T171)</x:f>
      </x:c>
      <x:c r="V171" s="55" t="str">
        <x:f>IF(A171="","",IF(X171&lt;&gt;"","CORRIGIR DADOS",IF(J171="Cancelado","CANCELADO",IF(OR(J171="Fechado",J171="Resolvido"),"CONCLUÍDO",IF(OR(P171="ATRASADO",U171&gt;=Listas!$B$16),"ESCALAR",IF(AND(M171="ATRASADO",L171=""),"RESPONDER AGORA",IF(R171&gt;=Listas!$B$14,"REVISAR BACKLOG","ACOMPANHAR")))))))</x:f>
      </x:c>
      <x:c r="W171" s="28"/>
      <x:c r="X171" s="194" t="str">
        <x:f>IF(COUNTA(A171:J171,L171,O171,S171:T171,W171)=0,"",IF(OR(NOT(ISNUMBER(Listas!$B$14)),Listas!$B$14&lt;0,NOT(ISNUMBER(Listas!$B$16)),Listas!$B$16&lt;1,COUNT(Listas!$B$6:$C$9)&lt;&gt;8,MIN(Listas!$B$6:$C$9)&lt;=0),"Parâmetros inválidos",IF(A171="","ID ausente",IF(COUNTIFS($A$5:$A$204,A171)&lt;&gt;1,"ID duplicado",IF(OR(NOT(ISNUMBER(B171)),B171&lt;=0),"Abertura inválida",IF(OR(NOT(ISNUMBER(Listas!$B$18)),Listas!$B$18&lt;=0),"Data da análise inválida",IF(B171&gt;Listas!$B$18,"Abertura após análise",IF(COUNTIFS(Listas!$A$6:$A$9,H171)&lt;&gt;1,"Prioridade inválida",IF(COUNTIFS(Equipe!$A$5:$A$12,I171)&lt;&gt;1,"Responsável inválido",IF(COUNTIFS(Listas!$E$6:$E$11,J171)&lt;&gt;1,"Status inválido",IF(AND(L171&lt;&gt;"",OR(NOT(ISNUMBER(L171)),L171&lt;B171,L171&gt;Listas!$B$18)),"Resposta inválida",IF(AND(O171&lt;&gt;"",OR(NOT(ISNUMBER(O171)),O171&lt;B171,O171&gt;Listas!$B$18)),"Resolução inválida",IF(AND(OR(J171="Fechado",J171="Resolvido"),O171=""),"Conclusão sem resolução",IF(OR(NOT(ISNUMBER(S171)),S171&lt;1,S171&gt;5,IF(ISNUMBER(S171),S171&lt;&gt;INT(S171),FALSE),NOT(ISNUMBER(T171)),T171&lt;1,T171&gt;5,IF(ISNUMBER(T171),T171&lt;&gt;INT(T171),FALSE)),"Impacto ou urgência inválido",""))))))))))))))</x:f>
      </x:c>
      <x:c r="Y171" s="194" t="n">
        <x:f>IF(AND(COUNTA(A171:J171,L171,O171,S171:T171,W171)&gt;0,OR(Listas!$B$20="Todos",I171=Listas!$B$20)),1,0)</x:f>
        <x:v>0</x:v>
      </x:c>
      <x:c r="Z171" s="194" t="n">
        <x:f>IF(AND(Y171=1,X171="",J171&lt;&gt;"Cancelado",NOT(OR(J171="Fechado",J171="Resolvido"))),1,0)</x:f>
        <x:v>0</x:v>
      </x:c>
      <x:c r="AA171" s="194" t="n">
        <x:f>IF(AND(Y171=1,X171="",OR(J171="Fechado",J171="Resolvido")),1,0)</x:f>
        <x:v>0</x:v>
      </x:c>
      <x:c r="AB171" s="194" t="n">
        <x:f>IF(Y171=0,0,IF(X171&lt;&gt;"",1,IF(Z171=0,0,IF(P171="ATRASADO",2,IF(AND(M171="ATRASADO",L171=""),3,IF(V171="ESCALAR",4,IF(V171="REVISAR BACKLOG",5,0)))))))</x:f>
        <x:v>0</x:v>
      </x:c>
      <x:c r="AC171" s="194" t="str">
        <x:f>IF(AB171=0,"",COUNTIFS($AB$5:$AB$204,"&gt;0",$AB$5:$AB$204,"&lt;"&amp;AB171)+COUNTIFS($AB$5:AB171,AB171))</x:f>
      </x:c>
      <x:c r="AD171" s="194" t="n">
        <x:f>IF(AND(A171&lt;&gt;"",X171=""),1,0)</x:f>
        <x:v>0</x:v>
      </x:c>
      <x:c r="AE171" s="194" t="n">
        <x:f>IF(AND(Y171=1,X171&lt;&gt;""),1,0)</x:f>
        <x:v>0</x:v>
      </x:c>
      <x:c r="AF171" s="194" t="n">
        <x:f>IF(L171="",1,0)</x:f>
        <x:v>1</x:v>
      </x:c>
    </x:row>
    <x:row r="172">
      <x:c r="A172" s="28"/>
      <x:c r="B172" s="41"/>
      <x:c r="C172" s="28"/>
      <x:c r="D172" s="28"/>
      <x:c r="E172" s="28"/>
      <x:c r="F172" s="28"/>
      <x:c r="G172" s="28"/>
      <x:c r="H172" s="28"/>
      <x:c r="I172" s="28"/>
      <x:c r="J172" s="28"/>
      <x:c r="K172" s="54" t="str">
        <x:f>IF(OR(A172="",X172&lt;&gt;""),"",B172+INDEX(Listas!$B$6:$B$9,MATCH(H172,Listas!$A$6:$A$9,0))/24)</x:f>
      </x:c>
      <x:c r="L172" s="41"/>
      <x:c r="M172" s="55" t="str">
        <x:f>IF(A172="","",IF(X172&lt;&gt;"","DADO PENDENTE",IF(J172="Cancelado","N.A.",IF(L172&lt;&gt;"",IF(L172&lt;=K172,"ATENDIDO","ATRASADO"),IF(OR(J172="Fechado",J172="Resolvido"),"SEM EVIDÊNCIA",IF(Listas!$B$18&gt;K172,"ATRASADO","PENDENTE"))))))</x:f>
      </x:c>
      <x:c r="N172" s="54" t="str">
        <x:f>IF(OR(A172="",X172&lt;&gt;""),"",B172+INDEX(Listas!$C$6:$C$9,MATCH(H172,Listas!$A$6:$A$9,0))/24)</x:f>
      </x:c>
      <x:c r="O172" s="41"/>
      <x:c r="P172" s="55" t="str">
        <x:f>IF(A172="","",IF(X172&lt;&gt;"","DADO PENDENTE",IF(J172="Cancelado","N.A.",IF(OR(J172="Fechado",J172="Resolvido"),IF(O172&lt;=N172,"ATENDIDO","ATRASADO"),IF(Listas!$B$18&gt;N172,"ATRASADO","PENDENTE")))))</x:f>
      </x:c>
      <x:c r="Q172" s="56" t="str">
        <x:f>IF(OR(A172="",X172&lt;&gt;"",J172="Cancelado"),"",24*IF(OR(J172="Fechado",J172="Resolvido"),O172-B172,Listas!$B$18-B172))</x:f>
      </x:c>
      <x:c r="R172" s="57" t="str">
        <x:f>IF(OR(A172="",X172&lt;&gt;"",J172="Cancelado"),"",INT(IF(OR(J172="Fechado",J172="Resolvido"),O172-B172,Listas!$B$18-B172)))</x:f>
      </x:c>
      <x:c r="S172" s="58"/>
      <x:c r="T172" s="58"/>
      <x:c r="U172" s="57" t="str">
        <x:f>IF(OR(A172="",X172&lt;&gt;"",J172="Cancelado"),"",S172*T172)</x:f>
      </x:c>
      <x:c r="V172" s="55" t="str">
        <x:f>IF(A172="","",IF(X172&lt;&gt;"","CORRIGIR DADOS",IF(J172="Cancelado","CANCELADO",IF(OR(J172="Fechado",J172="Resolvido"),"CONCLUÍDO",IF(OR(P172="ATRASADO",U172&gt;=Listas!$B$16),"ESCALAR",IF(AND(M172="ATRASADO",L172=""),"RESPONDER AGORA",IF(R172&gt;=Listas!$B$14,"REVISAR BACKLOG","ACOMPANHAR")))))))</x:f>
      </x:c>
      <x:c r="W172" s="28"/>
      <x:c r="X172" s="194" t="str">
        <x:f>IF(COUNTA(A172:J172,L172,O172,S172:T172,W172)=0,"",IF(OR(NOT(ISNUMBER(Listas!$B$14)),Listas!$B$14&lt;0,NOT(ISNUMBER(Listas!$B$16)),Listas!$B$16&lt;1,COUNT(Listas!$B$6:$C$9)&lt;&gt;8,MIN(Listas!$B$6:$C$9)&lt;=0),"Parâmetros inválidos",IF(A172="","ID ausente",IF(COUNTIFS($A$5:$A$204,A172)&lt;&gt;1,"ID duplicado",IF(OR(NOT(ISNUMBER(B172)),B172&lt;=0),"Abertura inválida",IF(OR(NOT(ISNUMBER(Listas!$B$18)),Listas!$B$18&lt;=0),"Data da análise inválida",IF(B172&gt;Listas!$B$18,"Abertura após análise",IF(COUNTIFS(Listas!$A$6:$A$9,H172)&lt;&gt;1,"Prioridade inválida",IF(COUNTIFS(Equipe!$A$5:$A$12,I172)&lt;&gt;1,"Responsável inválido",IF(COUNTIFS(Listas!$E$6:$E$11,J172)&lt;&gt;1,"Status inválido",IF(AND(L172&lt;&gt;"",OR(NOT(ISNUMBER(L172)),L172&lt;B172,L172&gt;Listas!$B$18)),"Resposta inválida",IF(AND(O172&lt;&gt;"",OR(NOT(ISNUMBER(O172)),O172&lt;B172,O172&gt;Listas!$B$18)),"Resolução inválida",IF(AND(OR(J172="Fechado",J172="Resolvido"),O172=""),"Conclusão sem resolução",IF(OR(NOT(ISNUMBER(S172)),S172&lt;1,S172&gt;5,IF(ISNUMBER(S172),S172&lt;&gt;INT(S172),FALSE),NOT(ISNUMBER(T172)),T172&lt;1,T172&gt;5,IF(ISNUMBER(T172),T172&lt;&gt;INT(T172),FALSE)),"Impacto ou urgência inválido",""))))))))))))))</x:f>
      </x:c>
      <x:c r="Y172" s="194" t="n">
        <x:f>IF(AND(COUNTA(A172:J172,L172,O172,S172:T172,W172)&gt;0,OR(Listas!$B$20="Todos",I172=Listas!$B$20)),1,0)</x:f>
        <x:v>0</x:v>
      </x:c>
      <x:c r="Z172" s="194" t="n">
        <x:f>IF(AND(Y172=1,X172="",J172&lt;&gt;"Cancelado",NOT(OR(J172="Fechado",J172="Resolvido"))),1,0)</x:f>
        <x:v>0</x:v>
      </x:c>
      <x:c r="AA172" s="194" t="n">
        <x:f>IF(AND(Y172=1,X172="",OR(J172="Fechado",J172="Resolvido")),1,0)</x:f>
        <x:v>0</x:v>
      </x:c>
      <x:c r="AB172" s="194" t="n">
        <x:f>IF(Y172=0,0,IF(X172&lt;&gt;"",1,IF(Z172=0,0,IF(P172="ATRASADO",2,IF(AND(M172="ATRASADO",L172=""),3,IF(V172="ESCALAR",4,IF(V172="REVISAR BACKLOG",5,0)))))))</x:f>
        <x:v>0</x:v>
      </x:c>
      <x:c r="AC172" s="194" t="str">
        <x:f>IF(AB172=0,"",COUNTIFS($AB$5:$AB$204,"&gt;0",$AB$5:$AB$204,"&lt;"&amp;AB172)+COUNTIFS($AB$5:AB172,AB172))</x:f>
      </x:c>
      <x:c r="AD172" s="194" t="n">
        <x:f>IF(AND(A172&lt;&gt;"",X172=""),1,0)</x:f>
        <x:v>0</x:v>
      </x:c>
      <x:c r="AE172" s="194" t="n">
        <x:f>IF(AND(Y172=1,X172&lt;&gt;""),1,0)</x:f>
        <x:v>0</x:v>
      </x:c>
      <x:c r="AF172" s="194" t="n">
        <x:f>IF(L172="",1,0)</x:f>
        <x:v>1</x:v>
      </x:c>
    </x:row>
    <x:row r="173">
      <x:c r="A173" s="28"/>
      <x:c r="B173" s="41"/>
      <x:c r="C173" s="28"/>
      <x:c r="D173" s="28"/>
      <x:c r="E173" s="28"/>
      <x:c r="F173" s="28"/>
      <x:c r="G173" s="28"/>
      <x:c r="H173" s="28"/>
      <x:c r="I173" s="28"/>
      <x:c r="J173" s="28"/>
      <x:c r="K173" s="54" t="str">
        <x:f>IF(OR(A173="",X173&lt;&gt;""),"",B173+INDEX(Listas!$B$6:$B$9,MATCH(H173,Listas!$A$6:$A$9,0))/24)</x:f>
      </x:c>
      <x:c r="L173" s="41"/>
      <x:c r="M173" s="55" t="str">
        <x:f>IF(A173="","",IF(X173&lt;&gt;"","DADO PENDENTE",IF(J173="Cancelado","N.A.",IF(L173&lt;&gt;"",IF(L173&lt;=K173,"ATENDIDO","ATRASADO"),IF(OR(J173="Fechado",J173="Resolvido"),"SEM EVIDÊNCIA",IF(Listas!$B$18&gt;K173,"ATRASADO","PENDENTE"))))))</x:f>
      </x:c>
      <x:c r="N173" s="54" t="str">
        <x:f>IF(OR(A173="",X173&lt;&gt;""),"",B173+INDEX(Listas!$C$6:$C$9,MATCH(H173,Listas!$A$6:$A$9,0))/24)</x:f>
      </x:c>
      <x:c r="O173" s="41"/>
      <x:c r="P173" s="55" t="str">
        <x:f>IF(A173="","",IF(X173&lt;&gt;"","DADO PENDENTE",IF(J173="Cancelado","N.A.",IF(OR(J173="Fechado",J173="Resolvido"),IF(O173&lt;=N173,"ATENDIDO","ATRASADO"),IF(Listas!$B$18&gt;N173,"ATRASADO","PENDENTE")))))</x:f>
      </x:c>
      <x:c r="Q173" s="56" t="str">
        <x:f>IF(OR(A173="",X173&lt;&gt;"",J173="Cancelado"),"",24*IF(OR(J173="Fechado",J173="Resolvido"),O173-B173,Listas!$B$18-B173))</x:f>
      </x:c>
      <x:c r="R173" s="57" t="str">
        <x:f>IF(OR(A173="",X173&lt;&gt;"",J173="Cancelado"),"",INT(IF(OR(J173="Fechado",J173="Resolvido"),O173-B173,Listas!$B$18-B173)))</x:f>
      </x:c>
      <x:c r="S173" s="58"/>
      <x:c r="T173" s="58"/>
      <x:c r="U173" s="57" t="str">
        <x:f>IF(OR(A173="",X173&lt;&gt;"",J173="Cancelado"),"",S173*T173)</x:f>
      </x:c>
      <x:c r="V173" s="55" t="str">
        <x:f>IF(A173="","",IF(X173&lt;&gt;"","CORRIGIR DADOS",IF(J173="Cancelado","CANCELADO",IF(OR(J173="Fechado",J173="Resolvido"),"CONCLUÍDO",IF(OR(P173="ATRASADO",U173&gt;=Listas!$B$16),"ESCALAR",IF(AND(M173="ATRASADO",L173=""),"RESPONDER AGORA",IF(R173&gt;=Listas!$B$14,"REVISAR BACKLOG","ACOMPANHAR")))))))</x:f>
      </x:c>
      <x:c r="W173" s="28"/>
      <x:c r="X173" s="194" t="str">
        <x:f>IF(COUNTA(A173:J173,L173,O173,S173:T173,W173)=0,"",IF(OR(NOT(ISNUMBER(Listas!$B$14)),Listas!$B$14&lt;0,NOT(ISNUMBER(Listas!$B$16)),Listas!$B$16&lt;1,COUNT(Listas!$B$6:$C$9)&lt;&gt;8,MIN(Listas!$B$6:$C$9)&lt;=0),"Parâmetros inválidos",IF(A173="","ID ausente",IF(COUNTIFS($A$5:$A$204,A173)&lt;&gt;1,"ID duplicado",IF(OR(NOT(ISNUMBER(B173)),B173&lt;=0),"Abertura inválida",IF(OR(NOT(ISNUMBER(Listas!$B$18)),Listas!$B$18&lt;=0),"Data da análise inválida",IF(B173&gt;Listas!$B$18,"Abertura após análise",IF(COUNTIFS(Listas!$A$6:$A$9,H173)&lt;&gt;1,"Prioridade inválida",IF(COUNTIFS(Equipe!$A$5:$A$12,I173)&lt;&gt;1,"Responsável inválido",IF(COUNTIFS(Listas!$E$6:$E$11,J173)&lt;&gt;1,"Status inválido",IF(AND(L173&lt;&gt;"",OR(NOT(ISNUMBER(L173)),L173&lt;B173,L173&gt;Listas!$B$18)),"Resposta inválida",IF(AND(O173&lt;&gt;"",OR(NOT(ISNUMBER(O173)),O173&lt;B173,O173&gt;Listas!$B$18)),"Resolução inválida",IF(AND(OR(J173="Fechado",J173="Resolvido"),O173=""),"Conclusão sem resolução",IF(OR(NOT(ISNUMBER(S173)),S173&lt;1,S173&gt;5,IF(ISNUMBER(S173),S173&lt;&gt;INT(S173),FALSE),NOT(ISNUMBER(T173)),T173&lt;1,T173&gt;5,IF(ISNUMBER(T173),T173&lt;&gt;INT(T173),FALSE)),"Impacto ou urgência inválido",""))))))))))))))</x:f>
      </x:c>
      <x:c r="Y173" s="194" t="n">
        <x:f>IF(AND(COUNTA(A173:J173,L173,O173,S173:T173,W173)&gt;0,OR(Listas!$B$20="Todos",I173=Listas!$B$20)),1,0)</x:f>
        <x:v>0</x:v>
      </x:c>
      <x:c r="Z173" s="194" t="n">
        <x:f>IF(AND(Y173=1,X173="",J173&lt;&gt;"Cancelado",NOT(OR(J173="Fechado",J173="Resolvido"))),1,0)</x:f>
        <x:v>0</x:v>
      </x:c>
      <x:c r="AA173" s="194" t="n">
        <x:f>IF(AND(Y173=1,X173="",OR(J173="Fechado",J173="Resolvido")),1,0)</x:f>
        <x:v>0</x:v>
      </x:c>
      <x:c r="AB173" s="194" t="n">
        <x:f>IF(Y173=0,0,IF(X173&lt;&gt;"",1,IF(Z173=0,0,IF(P173="ATRASADO",2,IF(AND(M173="ATRASADO",L173=""),3,IF(V173="ESCALAR",4,IF(V173="REVISAR BACKLOG",5,0)))))))</x:f>
        <x:v>0</x:v>
      </x:c>
      <x:c r="AC173" s="194" t="str">
        <x:f>IF(AB173=0,"",COUNTIFS($AB$5:$AB$204,"&gt;0",$AB$5:$AB$204,"&lt;"&amp;AB173)+COUNTIFS($AB$5:AB173,AB173))</x:f>
      </x:c>
      <x:c r="AD173" s="194" t="n">
        <x:f>IF(AND(A173&lt;&gt;"",X173=""),1,0)</x:f>
        <x:v>0</x:v>
      </x:c>
      <x:c r="AE173" s="194" t="n">
        <x:f>IF(AND(Y173=1,X173&lt;&gt;""),1,0)</x:f>
        <x:v>0</x:v>
      </x:c>
      <x:c r="AF173" s="194" t="n">
        <x:f>IF(L173="",1,0)</x:f>
        <x:v>1</x:v>
      </x:c>
    </x:row>
    <x:row r="174">
      <x:c r="A174" s="28"/>
      <x:c r="B174" s="41"/>
      <x:c r="C174" s="28"/>
      <x:c r="D174" s="28"/>
      <x:c r="E174" s="28"/>
      <x:c r="F174" s="28"/>
      <x:c r="G174" s="28"/>
      <x:c r="H174" s="28"/>
      <x:c r="I174" s="28"/>
      <x:c r="J174" s="28"/>
      <x:c r="K174" s="54" t="str">
        <x:f>IF(OR(A174="",X174&lt;&gt;""),"",B174+INDEX(Listas!$B$6:$B$9,MATCH(H174,Listas!$A$6:$A$9,0))/24)</x:f>
      </x:c>
      <x:c r="L174" s="41"/>
      <x:c r="M174" s="55" t="str">
        <x:f>IF(A174="","",IF(X174&lt;&gt;"","DADO PENDENTE",IF(J174="Cancelado","N.A.",IF(L174&lt;&gt;"",IF(L174&lt;=K174,"ATENDIDO","ATRASADO"),IF(OR(J174="Fechado",J174="Resolvido"),"SEM EVIDÊNCIA",IF(Listas!$B$18&gt;K174,"ATRASADO","PENDENTE"))))))</x:f>
      </x:c>
      <x:c r="N174" s="54" t="str">
        <x:f>IF(OR(A174="",X174&lt;&gt;""),"",B174+INDEX(Listas!$C$6:$C$9,MATCH(H174,Listas!$A$6:$A$9,0))/24)</x:f>
      </x:c>
      <x:c r="O174" s="41"/>
      <x:c r="P174" s="55" t="str">
        <x:f>IF(A174="","",IF(X174&lt;&gt;"","DADO PENDENTE",IF(J174="Cancelado","N.A.",IF(OR(J174="Fechado",J174="Resolvido"),IF(O174&lt;=N174,"ATENDIDO","ATRASADO"),IF(Listas!$B$18&gt;N174,"ATRASADO","PENDENTE")))))</x:f>
      </x:c>
      <x:c r="Q174" s="56" t="str">
        <x:f>IF(OR(A174="",X174&lt;&gt;"",J174="Cancelado"),"",24*IF(OR(J174="Fechado",J174="Resolvido"),O174-B174,Listas!$B$18-B174))</x:f>
      </x:c>
      <x:c r="R174" s="57" t="str">
        <x:f>IF(OR(A174="",X174&lt;&gt;"",J174="Cancelado"),"",INT(IF(OR(J174="Fechado",J174="Resolvido"),O174-B174,Listas!$B$18-B174)))</x:f>
      </x:c>
      <x:c r="S174" s="58"/>
      <x:c r="T174" s="58"/>
      <x:c r="U174" s="57" t="str">
        <x:f>IF(OR(A174="",X174&lt;&gt;"",J174="Cancelado"),"",S174*T174)</x:f>
      </x:c>
      <x:c r="V174" s="55" t="str">
        <x:f>IF(A174="","",IF(X174&lt;&gt;"","CORRIGIR DADOS",IF(J174="Cancelado","CANCELADO",IF(OR(J174="Fechado",J174="Resolvido"),"CONCLUÍDO",IF(OR(P174="ATRASADO",U174&gt;=Listas!$B$16),"ESCALAR",IF(AND(M174="ATRASADO",L174=""),"RESPONDER AGORA",IF(R174&gt;=Listas!$B$14,"REVISAR BACKLOG","ACOMPANHAR")))))))</x:f>
      </x:c>
      <x:c r="W174" s="28"/>
      <x:c r="X174" s="194" t="str">
        <x:f>IF(COUNTA(A174:J174,L174,O174,S174:T174,W174)=0,"",IF(OR(NOT(ISNUMBER(Listas!$B$14)),Listas!$B$14&lt;0,NOT(ISNUMBER(Listas!$B$16)),Listas!$B$16&lt;1,COUNT(Listas!$B$6:$C$9)&lt;&gt;8,MIN(Listas!$B$6:$C$9)&lt;=0),"Parâmetros inválidos",IF(A174="","ID ausente",IF(COUNTIFS($A$5:$A$204,A174)&lt;&gt;1,"ID duplicado",IF(OR(NOT(ISNUMBER(B174)),B174&lt;=0),"Abertura inválida",IF(OR(NOT(ISNUMBER(Listas!$B$18)),Listas!$B$18&lt;=0),"Data da análise inválida",IF(B174&gt;Listas!$B$18,"Abertura após análise",IF(COUNTIFS(Listas!$A$6:$A$9,H174)&lt;&gt;1,"Prioridade inválida",IF(COUNTIFS(Equipe!$A$5:$A$12,I174)&lt;&gt;1,"Responsável inválido",IF(COUNTIFS(Listas!$E$6:$E$11,J174)&lt;&gt;1,"Status inválido",IF(AND(L174&lt;&gt;"",OR(NOT(ISNUMBER(L174)),L174&lt;B174,L174&gt;Listas!$B$18)),"Resposta inválida",IF(AND(O174&lt;&gt;"",OR(NOT(ISNUMBER(O174)),O174&lt;B174,O174&gt;Listas!$B$18)),"Resolução inválida",IF(AND(OR(J174="Fechado",J174="Resolvido"),O174=""),"Conclusão sem resolução",IF(OR(NOT(ISNUMBER(S174)),S174&lt;1,S174&gt;5,IF(ISNUMBER(S174),S174&lt;&gt;INT(S174),FALSE),NOT(ISNUMBER(T174)),T174&lt;1,T174&gt;5,IF(ISNUMBER(T174),T174&lt;&gt;INT(T174),FALSE)),"Impacto ou urgência inválido",""))))))))))))))</x:f>
      </x:c>
      <x:c r="Y174" s="194" t="n">
        <x:f>IF(AND(COUNTA(A174:J174,L174,O174,S174:T174,W174)&gt;0,OR(Listas!$B$20="Todos",I174=Listas!$B$20)),1,0)</x:f>
        <x:v>0</x:v>
      </x:c>
      <x:c r="Z174" s="194" t="n">
        <x:f>IF(AND(Y174=1,X174="",J174&lt;&gt;"Cancelado",NOT(OR(J174="Fechado",J174="Resolvido"))),1,0)</x:f>
        <x:v>0</x:v>
      </x:c>
      <x:c r="AA174" s="194" t="n">
        <x:f>IF(AND(Y174=1,X174="",OR(J174="Fechado",J174="Resolvido")),1,0)</x:f>
        <x:v>0</x:v>
      </x:c>
      <x:c r="AB174" s="194" t="n">
        <x:f>IF(Y174=0,0,IF(X174&lt;&gt;"",1,IF(Z174=0,0,IF(P174="ATRASADO",2,IF(AND(M174="ATRASADO",L174=""),3,IF(V174="ESCALAR",4,IF(V174="REVISAR BACKLOG",5,0)))))))</x:f>
        <x:v>0</x:v>
      </x:c>
      <x:c r="AC174" s="194" t="str">
        <x:f>IF(AB174=0,"",COUNTIFS($AB$5:$AB$204,"&gt;0",$AB$5:$AB$204,"&lt;"&amp;AB174)+COUNTIFS($AB$5:AB174,AB174))</x:f>
      </x:c>
      <x:c r="AD174" s="194" t="n">
        <x:f>IF(AND(A174&lt;&gt;"",X174=""),1,0)</x:f>
        <x:v>0</x:v>
      </x:c>
      <x:c r="AE174" s="194" t="n">
        <x:f>IF(AND(Y174=1,X174&lt;&gt;""),1,0)</x:f>
        <x:v>0</x:v>
      </x:c>
      <x:c r="AF174" s="194" t="n">
        <x:f>IF(L174="",1,0)</x:f>
        <x:v>1</x:v>
      </x:c>
    </x:row>
    <x:row r="175">
      <x:c r="A175" s="28"/>
      <x:c r="B175" s="41"/>
      <x:c r="C175" s="28"/>
      <x:c r="D175" s="28"/>
      <x:c r="E175" s="28"/>
      <x:c r="F175" s="28"/>
      <x:c r="G175" s="28"/>
      <x:c r="H175" s="28"/>
      <x:c r="I175" s="28"/>
      <x:c r="J175" s="28"/>
      <x:c r="K175" s="54" t="str">
        <x:f>IF(OR(A175="",X175&lt;&gt;""),"",B175+INDEX(Listas!$B$6:$B$9,MATCH(H175,Listas!$A$6:$A$9,0))/24)</x:f>
      </x:c>
      <x:c r="L175" s="41"/>
      <x:c r="M175" s="55" t="str">
        <x:f>IF(A175="","",IF(X175&lt;&gt;"","DADO PENDENTE",IF(J175="Cancelado","N.A.",IF(L175&lt;&gt;"",IF(L175&lt;=K175,"ATENDIDO","ATRASADO"),IF(OR(J175="Fechado",J175="Resolvido"),"SEM EVIDÊNCIA",IF(Listas!$B$18&gt;K175,"ATRASADO","PENDENTE"))))))</x:f>
      </x:c>
      <x:c r="N175" s="54" t="str">
        <x:f>IF(OR(A175="",X175&lt;&gt;""),"",B175+INDEX(Listas!$C$6:$C$9,MATCH(H175,Listas!$A$6:$A$9,0))/24)</x:f>
      </x:c>
      <x:c r="O175" s="41"/>
      <x:c r="P175" s="55" t="str">
        <x:f>IF(A175="","",IF(X175&lt;&gt;"","DADO PENDENTE",IF(J175="Cancelado","N.A.",IF(OR(J175="Fechado",J175="Resolvido"),IF(O175&lt;=N175,"ATENDIDO","ATRASADO"),IF(Listas!$B$18&gt;N175,"ATRASADO","PENDENTE")))))</x:f>
      </x:c>
      <x:c r="Q175" s="56" t="str">
        <x:f>IF(OR(A175="",X175&lt;&gt;"",J175="Cancelado"),"",24*IF(OR(J175="Fechado",J175="Resolvido"),O175-B175,Listas!$B$18-B175))</x:f>
      </x:c>
      <x:c r="R175" s="57" t="str">
        <x:f>IF(OR(A175="",X175&lt;&gt;"",J175="Cancelado"),"",INT(IF(OR(J175="Fechado",J175="Resolvido"),O175-B175,Listas!$B$18-B175)))</x:f>
      </x:c>
      <x:c r="S175" s="58"/>
      <x:c r="T175" s="58"/>
      <x:c r="U175" s="57" t="str">
        <x:f>IF(OR(A175="",X175&lt;&gt;"",J175="Cancelado"),"",S175*T175)</x:f>
      </x:c>
      <x:c r="V175" s="55" t="str">
        <x:f>IF(A175="","",IF(X175&lt;&gt;"","CORRIGIR DADOS",IF(J175="Cancelado","CANCELADO",IF(OR(J175="Fechado",J175="Resolvido"),"CONCLUÍDO",IF(OR(P175="ATRASADO",U175&gt;=Listas!$B$16),"ESCALAR",IF(AND(M175="ATRASADO",L175=""),"RESPONDER AGORA",IF(R175&gt;=Listas!$B$14,"REVISAR BACKLOG","ACOMPANHAR")))))))</x:f>
      </x:c>
      <x:c r="W175" s="28"/>
      <x:c r="X175" s="194" t="str">
        <x:f>IF(COUNTA(A175:J175,L175,O175,S175:T175,W175)=0,"",IF(OR(NOT(ISNUMBER(Listas!$B$14)),Listas!$B$14&lt;0,NOT(ISNUMBER(Listas!$B$16)),Listas!$B$16&lt;1,COUNT(Listas!$B$6:$C$9)&lt;&gt;8,MIN(Listas!$B$6:$C$9)&lt;=0),"Parâmetros inválidos",IF(A175="","ID ausente",IF(COUNTIFS($A$5:$A$204,A175)&lt;&gt;1,"ID duplicado",IF(OR(NOT(ISNUMBER(B175)),B175&lt;=0),"Abertura inválida",IF(OR(NOT(ISNUMBER(Listas!$B$18)),Listas!$B$18&lt;=0),"Data da análise inválida",IF(B175&gt;Listas!$B$18,"Abertura após análise",IF(COUNTIFS(Listas!$A$6:$A$9,H175)&lt;&gt;1,"Prioridade inválida",IF(COUNTIFS(Equipe!$A$5:$A$12,I175)&lt;&gt;1,"Responsável inválido",IF(COUNTIFS(Listas!$E$6:$E$11,J175)&lt;&gt;1,"Status inválido",IF(AND(L175&lt;&gt;"",OR(NOT(ISNUMBER(L175)),L175&lt;B175,L175&gt;Listas!$B$18)),"Resposta inválida",IF(AND(O175&lt;&gt;"",OR(NOT(ISNUMBER(O175)),O175&lt;B175,O175&gt;Listas!$B$18)),"Resolução inválida",IF(AND(OR(J175="Fechado",J175="Resolvido"),O175=""),"Conclusão sem resolução",IF(OR(NOT(ISNUMBER(S175)),S175&lt;1,S175&gt;5,IF(ISNUMBER(S175),S175&lt;&gt;INT(S175),FALSE),NOT(ISNUMBER(T175)),T175&lt;1,T175&gt;5,IF(ISNUMBER(T175),T175&lt;&gt;INT(T175),FALSE)),"Impacto ou urgência inválido",""))))))))))))))</x:f>
      </x:c>
      <x:c r="Y175" s="194" t="n">
        <x:f>IF(AND(COUNTA(A175:J175,L175,O175,S175:T175,W175)&gt;0,OR(Listas!$B$20="Todos",I175=Listas!$B$20)),1,0)</x:f>
        <x:v>0</x:v>
      </x:c>
      <x:c r="Z175" s="194" t="n">
        <x:f>IF(AND(Y175=1,X175="",J175&lt;&gt;"Cancelado",NOT(OR(J175="Fechado",J175="Resolvido"))),1,0)</x:f>
        <x:v>0</x:v>
      </x:c>
      <x:c r="AA175" s="194" t="n">
        <x:f>IF(AND(Y175=1,X175="",OR(J175="Fechado",J175="Resolvido")),1,0)</x:f>
        <x:v>0</x:v>
      </x:c>
      <x:c r="AB175" s="194" t="n">
        <x:f>IF(Y175=0,0,IF(X175&lt;&gt;"",1,IF(Z175=0,0,IF(P175="ATRASADO",2,IF(AND(M175="ATRASADO",L175=""),3,IF(V175="ESCALAR",4,IF(V175="REVISAR BACKLOG",5,0)))))))</x:f>
        <x:v>0</x:v>
      </x:c>
      <x:c r="AC175" s="194" t="str">
        <x:f>IF(AB175=0,"",COUNTIFS($AB$5:$AB$204,"&gt;0",$AB$5:$AB$204,"&lt;"&amp;AB175)+COUNTIFS($AB$5:AB175,AB175))</x:f>
      </x:c>
      <x:c r="AD175" s="194" t="n">
        <x:f>IF(AND(A175&lt;&gt;"",X175=""),1,0)</x:f>
        <x:v>0</x:v>
      </x:c>
      <x:c r="AE175" s="194" t="n">
        <x:f>IF(AND(Y175=1,X175&lt;&gt;""),1,0)</x:f>
        <x:v>0</x:v>
      </x:c>
      <x:c r="AF175" s="194" t="n">
        <x:f>IF(L175="",1,0)</x:f>
        <x:v>1</x:v>
      </x:c>
    </x:row>
    <x:row r="176">
      <x:c r="A176" s="28"/>
      <x:c r="B176" s="41"/>
      <x:c r="C176" s="28"/>
      <x:c r="D176" s="28"/>
      <x:c r="E176" s="28"/>
      <x:c r="F176" s="28"/>
      <x:c r="G176" s="28"/>
      <x:c r="H176" s="28"/>
      <x:c r="I176" s="28"/>
      <x:c r="J176" s="28"/>
      <x:c r="K176" s="54" t="str">
        <x:f>IF(OR(A176="",X176&lt;&gt;""),"",B176+INDEX(Listas!$B$6:$B$9,MATCH(H176,Listas!$A$6:$A$9,0))/24)</x:f>
      </x:c>
      <x:c r="L176" s="41"/>
      <x:c r="M176" s="55" t="str">
        <x:f>IF(A176="","",IF(X176&lt;&gt;"","DADO PENDENTE",IF(J176="Cancelado","N.A.",IF(L176&lt;&gt;"",IF(L176&lt;=K176,"ATENDIDO","ATRASADO"),IF(OR(J176="Fechado",J176="Resolvido"),"SEM EVIDÊNCIA",IF(Listas!$B$18&gt;K176,"ATRASADO","PENDENTE"))))))</x:f>
      </x:c>
      <x:c r="N176" s="54" t="str">
        <x:f>IF(OR(A176="",X176&lt;&gt;""),"",B176+INDEX(Listas!$C$6:$C$9,MATCH(H176,Listas!$A$6:$A$9,0))/24)</x:f>
      </x:c>
      <x:c r="O176" s="41"/>
      <x:c r="P176" s="55" t="str">
        <x:f>IF(A176="","",IF(X176&lt;&gt;"","DADO PENDENTE",IF(J176="Cancelado","N.A.",IF(OR(J176="Fechado",J176="Resolvido"),IF(O176&lt;=N176,"ATENDIDO","ATRASADO"),IF(Listas!$B$18&gt;N176,"ATRASADO","PENDENTE")))))</x:f>
      </x:c>
      <x:c r="Q176" s="56" t="str">
        <x:f>IF(OR(A176="",X176&lt;&gt;"",J176="Cancelado"),"",24*IF(OR(J176="Fechado",J176="Resolvido"),O176-B176,Listas!$B$18-B176))</x:f>
      </x:c>
      <x:c r="R176" s="57" t="str">
        <x:f>IF(OR(A176="",X176&lt;&gt;"",J176="Cancelado"),"",INT(IF(OR(J176="Fechado",J176="Resolvido"),O176-B176,Listas!$B$18-B176)))</x:f>
      </x:c>
      <x:c r="S176" s="58"/>
      <x:c r="T176" s="58"/>
      <x:c r="U176" s="57" t="str">
        <x:f>IF(OR(A176="",X176&lt;&gt;"",J176="Cancelado"),"",S176*T176)</x:f>
      </x:c>
      <x:c r="V176" s="55" t="str">
        <x:f>IF(A176="","",IF(X176&lt;&gt;"","CORRIGIR DADOS",IF(J176="Cancelado","CANCELADO",IF(OR(J176="Fechado",J176="Resolvido"),"CONCLUÍDO",IF(OR(P176="ATRASADO",U176&gt;=Listas!$B$16),"ESCALAR",IF(AND(M176="ATRASADO",L176=""),"RESPONDER AGORA",IF(R176&gt;=Listas!$B$14,"REVISAR BACKLOG","ACOMPANHAR")))))))</x:f>
      </x:c>
      <x:c r="W176" s="28"/>
      <x:c r="X176" s="194" t="str">
        <x:f>IF(COUNTA(A176:J176,L176,O176,S176:T176,W176)=0,"",IF(OR(NOT(ISNUMBER(Listas!$B$14)),Listas!$B$14&lt;0,NOT(ISNUMBER(Listas!$B$16)),Listas!$B$16&lt;1,COUNT(Listas!$B$6:$C$9)&lt;&gt;8,MIN(Listas!$B$6:$C$9)&lt;=0),"Parâmetros inválidos",IF(A176="","ID ausente",IF(COUNTIFS($A$5:$A$204,A176)&lt;&gt;1,"ID duplicado",IF(OR(NOT(ISNUMBER(B176)),B176&lt;=0),"Abertura inválida",IF(OR(NOT(ISNUMBER(Listas!$B$18)),Listas!$B$18&lt;=0),"Data da análise inválida",IF(B176&gt;Listas!$B$18,"Abertura após análise",IF(COUNTIFS(Listas!$A$6:$A$9,H176)&lt;&gt;1,"Prioridade inválida",IF(COUNTIFS(Equipe!$A$5:$A$12,I176)&lt;&gt;1,"Responsável inválido",IF(COUNTIFS(Listas!$E$6:$E$11,J176)&lt;&gt;1,"Status inválido",IF(AND(L176&lt;&gt;"",OR(NOT(ISNUMBER(L176)),L176&lt;B176,L176&gt;Listas!$B$18)),"Resposta inválida",IF(AND(O176&lt;&gt;"",OR(NOT(ISNUMBER(O176)),O176&lt;B176,O176&gt;Listas!$B$18)),"Resolução inválida",IF(AND(OR(J176="Fechado",J176="Resolvido"),O176=""),"Conclusão sem resolução",IF(OR(NOT(ISNUMBER(S176)),S176&lt;1,S176&gt;5,IF(ISNUMBER(S176),S176&lt;&gt;INT(S176),FALSE),NOT(ISNUMBER(T176)),T176&lt;1,T176&gt;5,IF(ISNUMBER(T176),T176&lt;&gt;INT(T176),FALSE)),"Impacto ou urgência inválido",""))))))))))))))</x:f>
      </x:c>
      <x:c r="Y176" s="194" t="n">
        <x:f>IF(AND(COUNTA(A176:J176,L176,O176,S176:T176,W176)&gt;0,OR(Listas!$B$20="Todos",I176=Listas!$B$20)),1,0)</x:f>
        <x:v>0</x:v>
      </x:c>
      <x:c r="Z176" s="194" t="n">
        <x:f>IF(AND(Y176=1,X176="",J176&lt;&gt;"Cancelado",NOT(OR(J176="Fechado",J176="Resolvido"))),1,0)</x:f>
        <x:v>0</x:v>
      </x:c>
      <x:c r="AA176" s="194" t="n">
        <x:f>IF(AND(Y176=1,X176="",OR(J176="Fechado",J176="Resolvido")),1,0)</x:f>
        <x:v>0</x:v>
      </x:c>
      <x:c r="AB176" s="194" t="n">
        <x:f>IF(Y176=0,0,IF(X176&lt;&gt;"",1,IF(Z176=0,0,IF(P176="ATRASADO",2,IF(AND(M176="ATRASADO",L176=""),3,IF(V176="ESCALAR",4,IF(V176="REVISAR BACKLOG",5,0)))))))</x:f>
        <x:v>0</x:v>
      </x:c>
      <x:c r="AC176" s="194" t="str">
        <x:f>IF(AB176=0,"",COUNTIFS($AB$5:$AB$204,"&gt;0",$AB$5:$AB$204,"&lt;"&amp;AB176)+COUNTIFS($AB$5:AB176,AB176))</x:f>
      </x:c>
      <x:c r="AD176" s="194" t="n">
        <x:f>IF(AND(A176&lt;&gt;"",X176=""),1,0)</x:f>
        <x:v>0</x:v>
      </x:c>
      <x:c r="AE176" s="194" t="n">
        <x:f>IF(AND(Y176=1,X176&lt;&gt;""),1,0)</x:f>
        <x:v>0</x:v>
      </x:c>
      <x:c r="AF176" s="194" t="n">
        <x:f>IF(L176="",1,0)</x:f>
        <x:v>1</x:v>
      </x:c>
    </x:row>
    <x:row r="177">
      <x:c r="A177" s="28"/>
      <x:c r="B177" s="41"/>
      <x:c r="C177" s="28"/>
      <x:c r="D177" s="28"/>
      <x:c r="E177" s="28"/>
      <x:c r="F177" s="28"/>
      <x:c r="G177" s="28"/>
      <x:c r="H177" s="28"/>
      <x:c r="I177" s="28"/>
      <x:c r="J177" s="28"/>
      <x:c r="K177" s="54" t="str">
        <x:f>IF(OR(A177="",X177&lt;&gt;""),"",B177+INDEX(Listas!$B$6:$B$9,MATCH(H177,Listas!$A$6:$A$9,0))/24)</x:f>
      </x:c>
      <x:c r="L177" s="41"/>
      <x:c r="M177" s="55" t="str">
        <x:f>IF(A177="","",IF(X177&lt;&gt;"","DADO PENDENTE",IF(J177="Cancelado","N.A.",IF(L177&lt;&gt;"",IF(L177&lt;=K177,"ATENDIDO","ATRASADO"),IF(OR(J177="Fechado",J177="Resolvido"),"SEM EVIDÊNCIA",IF(Listas!$B$18&gt;K177,"ATRASADO","PENDENTE"))))))</x:f>
      </x:c>
      <x:c r="N177" s="54" t="str">
        <x:f>IF(OR(A177="",X177&lt;&gt;""),"",B177+INDEX(Listas!$C$6:$C$9,MATCH(H177,Listas!$A$6:$A$9,0))/24)</x:f>
      </x:c>
      <x:c r="O177" s="41"/>
      <x:c r="P177" s="55" t="str">
        <x:f>IF(A177="","",IF(X177&lt;&gt;"","DADO PENDENTE",IF(J177="Cancelado","N.A.",IF(OR(J177="Fechado",J177="Resolvido"),IF(O177&lt;=N177,"ATENDIDO","ATRASADO"),IF(Listas!$B$18&gt;N177,"ATRASADO","PENDENTE")))))</x:f>
      </x:c>
      <x:c r="Q177" s="56" t="str">
        <x:f>IF(OR(A177="",X177&lt;&gt;"",J177="Cancelado"),"",24*IF(OR(J177="Fechado",J177="Resolvido"),O177-B177,Listas!$B$18-B177))</x:f>
      </x:c>
      <x:c r="R177" s="57" t="str">
        <x:f>IF(OR(A177="",X177&lt;&gt;"",J177="Cancelado"),"",INT(IF(OR(J177="Fechado",J177="Resolvido"),O177-B177,Listas!$B$18-B177)))</x:f>
      </x:c>
      <x:c r="S177" s="58"/>
      <x:c r="T177" s="58"/>
      <x:c r="U177" s="57" t="str">
        <x:f>IF(OR(A177="",X177&lt;&gt;"",J177="Cancelado"),"",S177*T177)</x:f>
      </x:c>
      <x:c r="V177" s="55" t="str">
        <x:f>IF(A177="","",IF(X177&lt;&gt;"","CORRIGIR DADOS",IF(J177="Cancelado","CANCELADO",IF(OR(J177="Fechado",J177="Resolvido"),"CONCLUÍDO",IF(OR(P177="ATRASADO",U177&gt;=Listas!$B$16),"ESCALAR",IF(AND(M177="ATRASADO",L177=""),"RESPONDER AGORA",IF(R177&gt;=Listas!$B$14,"REVISAR BACKLOG","ACOMPANHAR")))))))</x:f>
      </x:c>
      <x:c r="W177" s="28"/>
      <x:c r="X177" s="194" t="str">
        <x:f>IF(COUNTA(A177:J177,L177,O177,S177:T177,W177)=0,"",IF(OR(NOT(ISNUMBER(Listas!$B$14)),Listas!$B$14&lt;0,NOT(ISNUMBER(Listas!$B$16)),Listas!$B$16&lt;1,COUNT(Listas!$B$6:$C$9)&lt;&gt;8,MIN(Listas!$B$6:$C$9)&lt;=0),"Parâmetros inválidos",IF(A177="","ID ausente",IF(COUNTIFS($A$5:$A$204,A177)&lt;&gt;1,"ID duplicado",IF(OR(NOT(ISNUMBER(B177)),B177&lt;=0),"Abertura inválida",IF(OR(NOT(ISNUMBER(Listas!$B$18)),Listas!$B$18&lt;=0),"Data da análise inválida",IF(B177&gt;Listas!$B$18,"Abertura após análise",IF(COUNTIFS(Listas!$A$6:$A$9,H177)&lt;&gt;1,"Prioridade inválida",IF(COUNTIFS(Equipe!$A$5:$A$12,I177)&lt;&gt;1,"Responsável inválido",IF(COUNTIFS(Listas!$E$6:$E$11,J177)&lt;&gt;1,"Status inválido",IF(AND(L177&lt;&gt;"",OR(NOT(ISNUMBER(L177)),L177&lt;B177,L177&gt;Listas!$B$18)),"Resposta inválida",IF(AND(O177&lt;&gt;"",OR(NOT(ISNUMBER(O177)),O177&lt;B177,O177&gt;Listas!$B$18)),"Resolução inválida",IF(AND(OR(J177="Fechado",J177="Resolvido"),O177=""),"Conclusão sem resolução",IF(OR(NOT(ISNUMBER(S177)),S177&lt;1,S177&gt;5,IF(ISNUMBER(S177),S177&lt;&gt;INT(S177),FALSE),NOT(ISNUMBER(T177)),T177&lt;1,T177&gt;5,IF(ISNUMBER(T177),T177&lt;&gt;INT(T177),FALSE)),"Impacto ou urgência inválido",""))))))))))))))</x:f>
      </x:c>
      <x:c r="Y177" s="194" t="n">
        <x:f>IF(AND(COUNTA(A177:J177,L177,O177,S177:T177,W177)&gt;0,OR(Listas!$B$20="Todos",I177=Listas!$B$20)),1,0)</x:f>
        <x:v>0</x:v>
      </x:c>
      <x:c r="Z177" s="194" t="n">
        <x:f>IF(AND(Y177=1,X177="",J177&lt;&gt;"Cancelado",NOT(OR(J177="Fechado",J177="Resolvido"))),1,0)</x:f>
        <x:v>0</x:v>
      </x:c>
      <x:c r="AA177" s="194" t="n">
        <x:f>IF(AND(Y177=1,X177="",OR(J177="Fechado",J177="Resolvido")),1,0)</x:f>
        <x:v>0</x:v>
      </x:c>
      <x:c r="AB177" s="194" t="n">
        <x:f>IF(Y177=0,0,IF(X177&lt;&gt;"",1,IF(Z177=0,0,IF(P177="ATRASADO",2,IF(AND(M177="ATRASADO",L177=""),3,IF(V177="ESCALAR",4,IF(V177="REVISAR BACKLOG",5,0)))))))</x:f>
        <x:v>0</x:v>
      </x:c>
      <x:c r="AC177" s="194" t="str">
        <x:f>IF(AB177=0,"",COUNTIFS($AB$5:$AB$204,"&gt;0",$AB$5:$AB$204,"&lt;"&amp;AB177)+COUNTIFS($AB$5:AB177,AB177))</x:f>
      </x:c>
      <x:c r="AD177" s="194" t="n">
        <x:f>IF(AND(A177&lt;&gt;"",X177=""),1,0)</x:f>
        <x:v>0</x:v>
      </x:c>
      <x:c r="AE177" s="194" t="n">
        <x:f>IF(AND(Y177=1,X177&lt;&gt;""),1,0)</x:f>
        <x:v>0</x:v>
      </x:c>
      <x:c r="AF177" s="194" t="n">
        <x:f>IF(L177="",1,0)</x:f>
        <x:v>1</x:v>
      </x:c>
    </x:row>
    <x:row r="178">
      <x:c r="A178" s="28"/>
      <x:c r="B178" s="41"/>
      <x:c r="C178" s="28"/>
      <x:c r="D178" s="28"/>
      <x:c r="E178" s="28"/>
      <x:c r="F178" s="28"/>
      <x:c r="G178" s="28"/>
      <x:c r="H178" s="28"/>
      <x:c r="I178" s="28"/>
      <x:c r="J178" s="28"/>
      <x:c r="K178" s="54" t="str">
        <x:f>IF(OR(A178="",X178&lt;&gt;""),"",B178+INDEX(Listas!$B$6:$B$9,MATCH(H178,Listas!$A$6:$A$9,0))/24)</x:f>
      </x:c>
      <x:c r="L178" s="41"/>
      <x:c r="M178" s="55" t="str">
        <x:f>IF(A178="","",IF(X178&lt;&gt;"","DADO PENDENTE",IF(J178="Cancelado","N.A.",IF(L178&lt;&gt;"",IF(L178&lt;=K178,"ATENDIDO","ATRASADO"),IF(OR(J178="Fechado",J178="Resolvido"),"SEM EVIDÊNCIA",IF(Listas!$B$18&gt;K178,"ATRASADO","PENDENTE"))))))</x:f>
      </x:c>
      <x:c r="N178" s="54" t="str">
        <x:f>IF(OR(A178="",X178&lt;&gt;""),"",B178+INDEX(Listas!$C$6:$C$9,MATCH(H178,Listas!$A$6:$A$9,0))/24)</x:f>
      </x:c>
      <x:c r="O178" s="41"/>
      <x:c r="P178" s="55" t="str">
        <x:f>IF(A178="","",IF(X178&lt;&gt;"","DADO PENDENTE",IF(J178="Cancelado","N.A.",IF(OR(J178="Fechado",J178="Resolvido"),IF(O178&lt;=N178,"ATENDIDO","ATRASADO"),IF(Listas!$B$18&gt;N178,"ATRASADO","PENDENTE")))))</x:f>
      </x:c>
      <x:c r="Q178" s="56" t="str">
        <x:f>IF(OR(A178="",X178&lt;&gt;"",J178="Cancelado"),"",24*IF(OR(J178="Fechado",J178="Resolvido"),O178-B178,Listas!$B$18-B178))</x:f>
      </x:c>
      <x:c r="R178" s="57" t="str">
        <x:f>IF(OR(A178="",X178&lt;&gt;"",J178="Cancelado"),"",INT(IF(OR(J178="Fechado",J178="Resolvido"),O178-B178,Listas!$B$18-B178)))</x:f>
      </x:c>
      <x:c r="S178" s="58"/>
      <x:c r="T178" s="58"/>
      <x:c r="U178" s="57" t="str">
        <x:f>IF(OR(A178="",X178&lt;&gt;"",J178="Cancelado"),"",S178*T178)</x:f>
      </x:c>
      <x:c r="V178" s="55" t="str">
        <x:f>IF(A178="","",IF(X178&lt;&gt;"","CORRIGIR DADOS",IF(J178="Cancelado","CANCELADO",IF(OR(J178="Fechado",J178="Resolvido"),"CONCLUÍDO",IF(OR(P178="ATRASADO",U178&gt;=Listas!$B$16),"ESCALAR",IF(AND(M178="ATRASADO",L178=""),"RESPONDER AGORA",IF(R178&gt;=Listas!$B$14,"REVISAR BACKLOG","ACOMPANHAR")))))))</x:f>
      </x:c>
      <x:c r="W178" s="28"/>
      <x:c r="X178" s="194" t="str">
        <x:f>IF(COUNTA(A178:J178,L178,O178,S178:T178,W178)=0,"",IF(OR(NOT(ISNUMBER(Listas!$B$14)),Listas!$B$14&lt;0,NOT(ISNUMBER(Listas!$B$16)),Listas!$B$16&lt;1,COUNT(Listas!$B$6:$C$9)&lt;&gt;8,MIN(Listas!$B$6:$C$9)&lt;=0),"Parâmetros inválidos",IF(A178="","ID ausente",IF(COUNTIFS($A$5:$A$204,A178)&lt;&gt;1,"ID duplicado",IF(OR(NOT(ISNUMBER(B178)),B178&lt;=0),"Abertura inválida",IF(OR(NOT(ISNUMBER(Listas!$B$18)),Listas!$B$18&lt;=0),"Data da análise inválida",IF(B178&gt;Listas!$B$18,"Abertura após análise",IF(COUNTIFS(Listas!$A$6:$A$9,H178)&lt;&gt;1,"Prioridade inválida",IF(COUNTIFS(Equipe!$A$5:$A$12,I178)&lt;&gt;1,"Responsável inválido",IF(COUNTIFS(Listas!$E$6:$E$11,J178)&lt;&gt;1,"Status inválido",IF(AND(L178&lt;&gt;"",OR(NOT(ISNUMBER(L178)),L178&lt;B178,L178&gt;Listas!$B$18)),"Resposta inválida",IF(AND(O178&lt;&gt;"",OR(NOT(ISNUMBER(O178)),O178&lt;B178,O178&gt;Listas!$B$18)),"Resolução inválida",IF(AND(OR(J178="Fechado",J178="Resolvido"),O178=""),"Conclusão sem resolução",IF(OR(NOT(ISNUMBER(S178)),S178&lt;1,S178&gt;5,IF(ISNUMBER(S178),S178&lt;&gt;INT(S178),FALSE),NOT(ISNUMBER(T178)),T178&lt;1,T178&gt;5,IF(ISNUMBER(T178),T178&lt;&gt;INT(T178),FALSE)),"Impacto ou urgência inválido",""))))))))))))))</x:f>
      </x:c>
      <x:c r="Y178" s="194" t="n">
        <x:f>IF(AND(COUNTA(A178:J178,L178,O178,S178:T178,W178)&gt;0,OR(Listas!$B$20="Todos",I178=Listas!$B$20)),1,0)</x:f>
        <x:v>0</x:v>
      </x:c>
      <x:c r="Z178" s="194" t="n">
        <x:f>IF(AND(Y178=1,X178="",J178&lt;&gt;"Cancelado",NOT(OR(J178="Fechado",J178="Resolvido"))),1,0)</x:f>
        <x:v>0</x:v>
      </x:c>
      <x:c r="AA178" s="194" t="n">
        <x:f>IF(AND(Y178=1,X178="",OR(J178="Fechado",J178="Resolvido")),1,0)</x:f>
        <x:v>0</x:v>
      </x:c>
      <x:c r="AB178" s="194" t="n">
        <x:f>IF(Y178=0,0,IF(X178&lt;&gt;"",1,IF(Z178=0,0,IF(P178="ATRASADO",2,IF(AND(M178="ATRASADO",L178=""),3,IF(V178="ESCALAR",4,IF(V178="REVISAR BACKLOG",5,0)))))))</x:f>
        <x:v>0</x:v>
      </x:c>
      <x:c r="AC178" s="194" t="str">
        <x:f>IF(AB178=0,"",COUNTIFS($AB$5:$AB$204,"&gt;0",$AB$5:$AB$204,"&lt;"&amp;AB178)+COUNTIFS($AB$5:AB178,AB178))</x:f>
      </x:c>
      <x:c r="AD178" s="194" t="n">
        <x:f>IF(AND(A178&lt;&gt;"",X178=""),1,0)</x:f>
        <x:v>0</x:v>
      </x:c>
      <x:c r="AE178" s="194" t="n">
        <x:f>IF(AND(Y178=1,X178&lt;&gt;""),1,0)</x:f>
        <x:v>0</x:v>
      </x:c>
      <x:c r="AF178" s="194" t="n">
        <x:f>IF(L178="",1,0)</x:f>
        <x:v>1</x:v>
      </x:c>
    </x:row>
    <x:row r="179">
      <x:c r="A179" s="28"/>
      <x:c r="B179" s="41"/>
      <x:c r="C179" s="28"/>
      <x:c r="D179" s="28"/>
      <x:c r="E179" s="28"/>
      <x:c r="F179" s="28"/>
      <x:c r="G179" s="28"/>
      <x:c r="H179" s="28"/>
      <x:c r="I179" s="28"/>
      <x:c r="J179" s="28"/>
      <x:c r="K179" s="54" t="str">
        <x:f>IF(OR(A179="",X179&lt;&gt;""),"",B179+INDEX(Listas!$B$6:$B$9,MATCH(H179,Listas!$A$6:$A$9,0))/24)</x:f>
      </x:c>
      <x:c r="L179" s="41"/>
      <x:c r="M179" s="55" t="str">
        <x:f>IF(A179="","",IF(X179&lt;&gt;"","DADO PENDENTE",IF(J179="Cancelado","N.A.",IF(L179&lt;&gt;"",IF(L179&lt;=K179,"ATENDIDO","ATRASADO"),IF(OR(J179="Fechado",J179="Resolvido"),"SEM EVIDÊNCIA",IF(Listas!$B$18&gt;K179,"ATRASADO","PENDENTE"))))))</x:f>
      </x:c>
      <x:c r="N179" s="54" t="str">
        <x:f>IF(OR(A179="",X179&lt;&gt;""),"",B179+INDEX(Listas!$C$6:$C$9,MATCH(H179,Listas!$A$6:$A$9,0))/24)</x:f>
      </x:c>
      <x:c r="O179" s="41"/>
      <x:c r="P179" s="55" t="str">
        <x:f>IF(A179="","",IF(X179&lt;&gt;"","DADO PENDENTE",IF(J179="Cancelado","N.A.",IF(OR(J179="Fechado",J179="Resolvido"),IF(O179&lt;=N179,"ATENDIDO","ATRASADO"),IF(Listas!$B$18&gt;N179,"ATRASADO","PENDENTE")))))</x:f>
      </x:c>
      <x:c r="Q179" s="56" t="str">
        <x:f>IF(OR(A179="",X179&lt;&gt;"",J179="Cancelado"),"",24*IF(OR(J179="Fechado",J179="Resolvido"),O179-B179,Listas!$B$18-B179))</x:f>
      </x:c>
      <x:c r="R179" s="57" t="str">
        <x:f>IF(OR(A179="",X179&lt;&gt;"",J179="Cancelado"),"",INT(IF(OR(J179="Fechado",J179="Resolvido"),O179-B179,Listas!$B$18-B179)))</x:f>
      </x:c>
      <x:c r="S179" s="58"/>
      <x:c r="T179" s="58"/>
      <x:c r="U179" s="57" t="str">
        <x:f>IF(OR(A179="",X179&lt;&gt;"",J179="Cancelado"),"",S179*T179)</x:f>
      </x:c>
      <x:c r="V179" s="55" t="str">
        <x:f>IF(A179="","",IF(X179&lt;&gt;"","CORRIGIR DADOS",IF(J179="Cancelado","CANCELADO",IF(OR(J179="Fechado",J179="Resolvido"),"CONCLUÍDO",IF(OR(P179="ATRASADO",U179&gt;=Listas!$B$16),"ESCALAR",IF(AND(M179="ATRASADO",L179=""),"RESPONDER AGORA",IF(R179&gt;=Listas!$B$14,"REVISAR BACKLOG","ACOMPANHAR")))))))</x:f>
      </x:c>
      <x:c r="W179" s="28"/>
      <x:c r="X179" s="194" t="str">
        <x:f>IF(COUNTA(A179:J179,L179,O179,S179:T179,W179)=0,"",IF(OR(NOT(ISNUMBER(Listas!$B$14)),Listas!$B$14&lt;0,NOT(ISNUMBER(Listas!$B$16)),Listas!$B$16&lt;1,COUNT(Listas!$B$6:$C$9)&lt;&gt;8,MIN(Listas!$B$6:$C$9)&lt;=0),"Parâmetros inválidos",IF(A179="","ID ausente",IF(COUNTIFS($A$5:$A$204,A179)&lt;&gt;1,"ID duplicado",IF(OR(NOT(ISNUMBER(B179)),B179&lt;=0),"Abertura inválida",IF(OR(NOT(ISNUMBER(Listas!$B$18)),Listas!$B$18&lt;=0),"Data da análise inválida",IF(B179&gt;Listas!$B$18,"Abertura após análise",IF(COUNTIFS(Listas!$A$6:$A$9,H179)&lt;&gt;1,"Prioridade inválida",IF(COUNTIFS(Equipe!$A$5:$A$12,I179)&lt;&gt;1,"Responsável inválido",IF(COUNTIFS(Listas!$E$6:$E$11,J179)&lt;&gt;1,"Status inválido",IF(AND(L179&lt;&gt;"",OR(NOT(ISNUMBER(L179)),L179&lt;B179,L179&gt;Listas!$B$18)),"Resposta inválida",IF(AND(O179&lt;&gt;"",OR(NOT(ISNUMBER(O179)),O179&lt;B179,O179&gt;Listas!$B$18)),"Resolução inválida",IF(AND(OR(J179="Fechado",J179="Resolvido"),O179=""),"Conclusão sem resolução",IF(OR(NOT(ISNUMBER(S179)),S179&lt;1,S179&gt;5,IF(ISNUMBER(S179),S179&lt;&gt;INT(S179),FALSE),NOT(ISNUMBER(T179)),T179&lt;1,T179&gt;5,IF(ISNUMBER(T179),T179&lt;&gt;INT(T179),FALSE)),"Impacto ou urgência inválido",""))))))))))))))</x:f>
      </x:c>
      <x:c r="Y179" s="194" t="n">
        <x:f>IF(AND(COUNTA(A179:J179,L179,O179,S179:T179,W179)&gt;0,OR(Listas!$B$20="Todos",I179=Listas!$B$20)),1,0)</x:f>
        <x:v>0</x:v>
      </x:c>
      <x:c r="Z179" s="194" t="n">
        <x:f>IF(AND(Y179=1,X179="",J179&lt;&gt;"Cancelado",NOT(OR(J179="Fechado",J179="Resolvido"))),1,0)</x:f>
        <x:v>0</x:v>
      </x:c>
      <x:c r="AA179" s="194" t="n">
        <x:f>IF(AND(Y179=1,X179="",OR(J179="Fechado",J179="Resolvido")),1,0)</x:f>
        <x:v>0</x:v>
      </x:c>
      <x:c r="AB179" s="194" t="n">
        <x:f>IF(Y179=0,0,IF(X179&lt;&gt;"",1,IF(Z179=0,0,IF(P179="ATRASADO",2,IF(AND(M179="ATRASADO",L179=""),3,IF(V179="ESCALAR",4,IF(V179="REVISAR BACKLOG",5,0)))))))</x:f>
        <x:v>0</x:v>
      </x:c>
      <x:c r="AC179" s="194" t="str">
        <x:f>IF(AB179=0,"",COUNTIFS($AB$5:$AB$204,"&gt;0",$AB$5:$AB$204,"&lt;"&amp;AB179)+COUNTIFS($AB$5:AB179,AB179))</x:f>
      </x:c>
      <x:c r="AD179" s="194" t="n">
        <x:f>IF(AND(A179&lt;&gt;"",X179=""),1,0)</x:f>
        <x:v>0</x:v>
      </x:c>
      <x:c r="AE179" s="194" t="n">
        <x:f>IF(AND(Y179=1,X179&lt;&gt;""),1,0)</x:f>
        <x:v>0</x:v>
      </x:c>
      <x:c r="AF179" s="194" t="n">
        <x:f>IF(L179="",1,0)</x:f>
        <x:v>1</x:v>
      </x:c>
    </x:row>
    <x:row r="180">
      <x:c r="A180" s="28"/>
      <x:c r="B180" s="41"/>
      <x:c r="C180" s="28"/>
      <x:c r="D180" s="28"/>
      <x:c r="E180" s="28"/>
      <x:c r="F180" s="28"/>
      <x:c r="G180" s="28"/>
      <x:c r="H180" s="28"/>
      <x:c r="I180" s="28"/>
      <x:c r="J180" s="28"/>
      <x:c r="K180" s="54" t="str">
        <x:f>IF(OR(A180="",X180&lt;&gt;""),"",B180+INDEX(Listas!$B$6:$B$9,MATCH(H180,Listas!$A$6:$A$9,0))/24)</x:f>
      </x:c>
      <x:c r="L180" s="41"/>
      <x:c r="M180" s="55" t="str">
        <x:f>IF(A180="","",IF(X180&lt;&gt;"","DADO PENDENTE",IF(J180="Cancelado","N.A.",IF(L180&lt;&gt;"",IF(L180&lt;=K180,"ATENDIDO","ATRASADO"),IF(OR(J180="Fechado",J180="Resolvido"),"SEM EVIDÊNCIA",IF(Listas!$B$18&gt;K180,"ATRASADO","PENDENTE"))))))</x:f>
      </x:c>
      <x:c r="N180" s="54" t="str">
        <x:f>IF(OR(A180="",X180&lt;&gt;""),"",B180+INDEX(Listas!$C$6:$C$9,MATCH(H180,Listas!$A$6:$A$9,0))/24)</x:f>
      </x:c>
      <x:c r="O180" s="41"/>
      <x:c r="P180" s="55" t="str">
        <x:f>IF(A180="","",IF(X180&lt;&gt;"","DADO PENDENTE",IF(J180="Cancelado","N.A.",IF(OR(J180="Fechado",J180="Resolvido"),IF(O180&lt;=N180,"ATENDIDO","ATRASADO"),IF(Listas!$B$18&gt;N180,"ATRASADO","PENDENTE")))))</x:f>
      </x:c>
      <x:c r="Q180" s="56" t="str">
        <x:f>IF(OR(A180="",X180&lt;&gt;"",J180="Cancelado"),"",24*IF(OR(J180="Fechado",J180="Resolvido"),O180-B180,Listas!$B$18-B180))</x:f>
      </x:c>
      <x:c r="R180" s="57" t="str">
        <x:f>IF(OR(A180="",X180&lt;&gt;"",J180="Cancelado"),"",INT(IF(OR(J180="Fechado",J180="Resolvido"),O180-B180,Listas!$B$18-B180)))</x:f>
      </x:c>
      <x:c r="S180" s="58"/>
      <x:c r="T180" s="58"/>
      <x:c r="U180" s="57" t="str">
        <x:f>IF(OR(A180="",X180&lt;&gt;"",J180="Cancelado"),"",S180*T180)</x:f>
      </x:c>
      <x:c r="V180" s="55" t="str">
        <x:f>IF(A180="","",IF(X180&lt;&gt;"","CORRIGIR DADOS",IF(J180="Cancelado","CANCELADO",IF(OR(J180="Fechado",J180="Resolvido"),"CONCLUÍDO",IF(OR(P180="ATRASADO",U180&gt;=Listas!$B$16),"ESCALAR",IF(AND(M180="ATRASADO",L180=""),"RESPONDER AGORA",IF(R180&gt;=Listas!$B$14,"REVISAR BACKLOG","ACOMPANHAR")))))))</x:f>
      </x:c>
      <x:c r="W180" s="28"/>
      <x:c r="X180" s="194" t="str">
        <x:f>IF(COUNTA(A180:J180,L180,O180,S180:T180,W180)=0,"",IF(OR(NOT(ISNUMBER(Listas!$B$14)),Listas!$B$14&lt;0,NOT(ISNUMBER(Listas!$B$16)),Listas!$B$16&lt;1,COUNT(Listas!$B$6:$C$9)&lt;&gt;8,MIN(Listas!$B$6:$C$9)&lt;=0),"Parâmetros inválidos",IF(A180="","ID ausente",IF(COUNTIFS($A$5:$A$204,A180)&lt;&gt;1,"ID duplicado",IF(OR(NOT(ISNUMBER(B180)),B180&lt;=0),"Abertura inválida",IF(OR(NOT(ISNUMBER(Listas!$B$18)),Listas!$B$18&lt;=0),"Data da análise inválida",IF(B180&gt;Listas!$B$18,"Abertura após análise",IF(COUNTIFS(Listas!$A$6:$A$9,H180)&lt;&gt;1,"Prioridade inválida",IF(COUNTIFS(Equipe!$A$5:$A$12,I180)&lt;&gt;1,"Responsável inválido",IF(COUNTIFS(Listas!$E$6:$E$11,J180)&lt;&gt;1,"Status inválido",IF(AND(L180&lt;&gt;"",OR(NOT(ISNUMBER(L180)),L180&lt;B180,L180&gt;Listas!$B$18)),"Resposta inválida",IF(AND(O180&lt;&gt;"",OR(NOT(ISNUMBER(O180)),O180&lt;B180,O180&gt;Listas!$B$18)),"Resolução inválida",IF(AND(OR(J180="Fechado",J180="Resolvido"),O180=""),"Conclusão sem resolução",IF(OR(NOT(ISNUMBER(S180)),S180&lt;1,S180&gt;5,IF(ISNUMBER(S180),S180&lt;&gt;INT(S180),FALSE),NOT(ISNUMBER(T180)),T180&lt;1,T180&gt;5,IF(ISNUMBER(T180),T180&lt;&gt;INT(T180),FALSE)),"Impacto ou urgência inválido",""))))))))))))))</x:f>
      </x:c>
      <x:c r="Y180" s="194" t="n">
        <x:f>IF(AND(COUNTA(A180:J180,L180,O180,S180:T180,W180)&gt;0,OR(Listas!$B$20="Todos",I180=Listas!$B$20)),1,0)</x:f>
        <x:v>0</x:v>
      </x:c>
      <x:c r="Z180" s="194" t="n">
        <x:f>IF(AND(Y180=1,X180="",J180&lt;&gt;"Cancelado",NOT(OR(J180="Fechado",J180="Resolvido"))),1,0)</x:f>
        <x:v>0</x:v>
      </x:c>
      <x:c r="AA180" s="194" t="n">
        <x:f>IF(AND(Y180=1,X180="",OR(J180="Fechado",J180="Resolvido")),1,0)</x:f>
        <x:v>0</x:v>
      </x:c>
      <x:c r="AB180" s="194" t="n">
        <x:f>IF(Y180=0,0,IF(X180&lt;&gt;"",1,IF(Z180=0,0,IF(P180="ATRASADO",2,IF(AND(M180="ATRASADO",L180=""),3,IF(V180="ESCALAR",4,IF(V180="REVISAR BACKLOG",5,0)))))))</x:f>
        <x:v>0</x:v>
      </x:c>
      <x:c r="AC180" s="194" t="str">
        <x:f>IF(AB180=0,"",COUNTIFS($AB$5:$AB$204,"&gt;0",$AB$5:$AB$204,"&lt;"&amp;AB180)+COUNTIFS($AB$5:AB180,AB180))</x:f>
      </x:c>
      <x:c r="AD180" s="194" t="n">
        <x:f>IF(AND(A180&lt;&gt;"",X180=""),1,0)</x:f>
        <x:v>0</x:v>
      </x:c>
      <x:c r="AE180" s="194" t="n">
        <x:f>IF(AND(Y180=1,X180&lt;&gt;""),1,0)</x:f>
        <x:v>0</x:v>
      </x:c>
      <x:c r="AF180" s="194" t="n">
        <x:f>IF(L180="",1,0)</x:f>
        <x:v>1</x:v>
      </x:c>
    </x:row>
    <x:row r="181">
      <x:c r="A181" s="28"/>
      <x:c r="B181" s="41"/>
      <x:c r="C181" s="28"/>
      <x:c r="D181" s="28"/>
      <x:c r="E181" s="28"/>
      <x:c r="F181" s="28"/>
      <x:c r="G181" s="28"/>
      <x:c r="H181" s="28"/>
      <x:c r="I181" s="28"/>
      <x:c r="J181" s="28"/>
      <x:c r="K181" s="54" t="str">
        <x:f>IF(OR(A181="",X181&lt;&gt;""),"",B181+INDEX(Listas!$B$6:$B$9,MATCH(H181,Listas!$A$6:$A$9,0))/24)</x:f>
      </x:c>
      <x:c r="L181" s="41"/>
      <x:c r="M181" s="55" t="str">
        <x:f>IF(A181="","",IF(X181&lt;&gt;"","DADO PENDENTE",IF(J181="Cancelado","N.A.",IF(L181&lt;&gt;"",IF(L181&lt;=K181,"ATENDIDO","ATRASADO"),IF(OR(J181="Fechado",J181="Resolvido"),"SEM EVIDÊNCIA",IF(Listas!$B$18&gt;K181,"ATRASADO","PENDENTE"))))))</x:f>
      </x:c>
      <x:c r="N181" s="54" t="str">
        <x:f>IF(OR(A181="",X181&lt;&gt;""),"",B181+INDEX(Listas!$C$6:$C$9,MATCH(H181,Listas!$A$6:$A$9,0))/24)</x:f>
      </x:c>
      <x:c r="O181" s="41"/>
      <x:c r="P181" s="55" t="str">
        <x:f>IF(A181="","",IF(X181&lt;&gt;"","DADO PENDENTE",IF(J181="Cancelado","N.A.",IF(OR(J181="Fechado",J181="Resolvido"),IF(O181&lt;=N181,"ATENDIDO","ATRASADO"),IF(Listas!$B$18&gt;N181,"ATRASADO","PENDENTE")))))</x:f>
      </x:c>
      <x:c r="Q181" s="56" t="str">
        <x:f>IF(OR(A181="",X181&lt;&gt;"",J181="Cancelado"),"",24*IF(OR(J181="Fechado",J181="Resolvido"),O181-B181,Listas!$B$18-B181))</x:f>
      </x:c>
      <x:c r="R181" s="57" t="str">
        <x:f>IF(OR(A181="",X181&lt;&gt;"",J181="Cancelado"),"",INT(IF(OR(J181="Fechado",J181="Resolvido"),O181-B181,Listas!$B$18-B181)))</x:f>
      </x:c>
      <x:c r="S181" s="58"/>
      <x:c r="T181" s="58"/>
      <x:c r="U181" s="57" t="str">
        <x:f>IF(OR(A181="",X181&lt;&gt;"",J181="Cancelado"),"",S181*T181)</x:f>
      </x:c>
      <x:c r="V181" s="55" t="str">
        <x:f>IF(A181="","",IF(X181&lt;&gt;"","CORRIGIR DADOS",IF(J181="Cancelado","CANCELADO",IF(OR(J181="Fechado",J181="Resolvido"),"CONCLUÍDO",IF(OR(P181="ATRASADO",U181&gt;=Listas!$B$16),"ESCALAR",IF(AND(M181="ATRASADO",L181=""),"RESPONDER AGORA",IF(R181&gt;=Listas!$B$14,"REVISAR BACKLOG","ACOMPANHAR")))))))</x:f>
      </x:c>
      <x:c r="W181" s="28"/>
      <x:c r="X181" s="194" t="str">
        <x:f>IF(COUNTA(A181:J181,L181,O181,S181:T181,W181)=0,"",IF(OR(NOT(ISNUMBER(Listas!$B$14)),Listas!$B$14&lt;0,NOT(ISNUMBER(Listas!$B$16)),Listas!$B$16&lt;1,COUNT(Listas!$B$6:$C$9)&lt;&gt;8,MIN(Listas!$B$6:$C$9)&lt;=0),"Parâmetros inválidos",IF(A181="","ID ausente",IF(COUNTIFS($A$5:$A$204,A181)&lt;&gt;1,"ID duplicado",IF(OR(NOT(ISNUMBER(B181)),B181&lt;=0),"Abertura inválida",IF(OR(NOT(ISNUMBER(Listas!$B$18)),Listas!$B$18&lt;=0),"Data da análise inválida",IF(B181&gt;Listas!$B$18,"Abertura após análise",IF(COUNTIFS(Listas!$A$6:$A$9,H181)&lt;&gt;1,"Prioridade inválida",IF(COUNTIFS(Equipe!$A$5:$A$12,I181)&lt;&gt;1,"Responsável inválido",IF(COUNTIFS(Listas!$E$6:$E$11,J181)&lt;&gt;1,"Status inválido",IF(AND(L181&lt;&gt;"",OR(NOT(ISNUMBER(L181)),L181&lt;B181,L181&gt;Listas!$B$18)),"Resposta inválida",IF(AND(O181&lt;&gt;"",OR(NOT(ISNUMBER(O181)),O181&lt;B181,O181&gt;Listas!$B$18)),"Resolução inválida",IF(AND(OR(J181="Fechado",J181="Resolvido"),O181=""),"Conclusão sem resolução",IF(OR(NOT(ISNUMBER(S181)),S181&lt;1,S181&gt;5,IF(ISNUMBER(S181),S181&lt;&gt;INT(S181),FALSE),NOT(ISNUMBER(T181)),T181&lt;1,T181&gt;5,IF(ISNUMBER(T181),T181&lt;&gt;INT(T181),FALSE)),"Impacto ou urgência inválido",""))))))))))))))</x:f>
      </x:c>
      <x:c r="Y181" s="194" t="n">
        <x:f>IF(AND(COUNTA(A181:J181,L181,O181,S181:T181,W181)&gt;0,OR(Listas!$B$20="Todos",I181=Listas!$B$20)),1,0)</x:f>
        <x:v>0</x:v>
      </x:c>
      <x:c r="Z181" s="194" t="n">
        <x:f>IF(AND(Y181=1,X181="",J181&lt;&gt;"Cancelado",NOT(OR(J181="Fechado",J181="Resolvido"))),1,0)</x:f>
        <x:v>0</x:v>
      </x:c>
      <x:c r="AA181" s="194" t="n">
        <x:f>IF(AND(Y181=1,X181="",OR(J181="Fechado",J181="Resolvido")),1,0)</x:f>
        <x:v>0</x:v>
      </x:c>
      <x:c r="AB181" s="194" t="n">
        <x:f>IF(Y181=0,0,IF(X181&lt;&gt;"",1,IF(Z181=0,0,IF(P181="ATRASADO",2,IF(AND(M181="ATRASADO",L181=""),3,IF(V181="ESCALAR",4,IF(V181="REVISAR BACKLOG",5,0)))))))</x:f>
        <x:v>0</x:v>
      </x:c>
      <x:c r="AC181" s="194" t="str">
        <x:f>IF(AB181=0,"",COUNTIFS($AB$5:$AB$204,"&gt;0",$AB$5:$AB$204,"&lt;"&amp;AB181)+COUNTIFS($AB$5:AB181,AB181))</x:f>
      </x:c>
      <x:c r="AD181" s="194" t="n">
        <x:f>IF(AND(A181&lt;&gt;"",X181=""),1,0)</x:f>
        <x:v>0</x:v>
      </x:c>
      <x:c r="AE181" s="194" t="n">
        <x:f>IF(AND(Y181=1,X181&lt;&gt;""),1,0)</x:f>
        <x:v>0</x:v>
      </x:c>
      <x:c r="AF181" s="194" t="n">
        <x:f>IF(L181="",1,0)</x:f>
        <x:v>1</x:v>
      </x:c>
    </x:row>
    <x:row r="182">
      <x:c r="A182" s="28"/>
      <x:c r="B182" s="41"/>
      <x:c r="C182" s="28"/>
      <x:c r="D182" s="28"/>
      <x:c r="E182" s="28"/>
      <x:c r="F182" s="28"/>
      <x:c r="G182" s="28"/>
      <x:c r="H182" s="28"/>
      <x:c r="I182" s="28"/>
      <x:c r="J182" s="28"/>
      <x:c r="K182" s="54" t="str">
        <x:f>IF(OR(A182="",X182&lt;&gt;""),"",B182+INDEX(Listas!$B$6:$B$9,MATCH(H182,Listas!$A$6:$A$9,0))/24)</x:f>
      </x:c>
      <x:c r="L182" s="41"/>
      <x:c r="M182" s="55" t="str">
        <x:f>IF(A182="","",IF(X182&lt;&gt;"","DADO PENDENTE",IF(J182="Cancelado","N.A.",IF(L182&lt;&gt;"",IF(L182&lt;=K182,"ATENDIDO","ATRASADO"),IF(OR(J182="Fechado",J182="Resolvido"),"SEM EVIDÊNCIA",IF(Listas!$B$18&gt;K182,"ATRASADO","PENDENTE"))))))</x:f>
      </x:c>
      <x:c r="N182" s="54" t="str">
        <x:f>IF(OR(A182="",X182&lt;&gt;""),"",B182+INDEX(Listas!$C$6:$C$9,MATCH(H182,Listas!$A$6:$A$9,0))/24)</x:f>
      </x:c>
      <x:c r="O182" s="41"/>
      <x:c r="P182" s="55" t="str">
        <x:f>IF(A182="","",IF(X182&lt;&gt;"","DADO PENDENTE",IF(J182="Cancelado","N.A.",IF(OR(J182="Fechado",J182="Resolvido"),IF(O182&lt;=N182,"ATENDIDO","ATRASADO"),IF(Listas!$B$18&gt;N182,"ATRASADO","PENDENTE")))))</x:f>
      </x:c>
      <x:c r="Q182" s="56" t="str">
        <x:f>IF(OR(A182="",X182&lt;&gt;"",J182="Cancelado"),"",24*IF(OR(J182="Fechado",J182="Resolvido"),O182-B182,Listas!$B$18-B182))</x:f>
      </x:c>
      <x:c r="R182" s="57" t="str">
        <x:f>IF(OR(A182="",X182&lt;&gt;"",J182="Cancelado"),"",INT(IF(OR(J182="Fechado",J182="Resolvido"),O182-B182,Listas!$B$18-B182)))</x:f>
      </x:c>
      <x:c r="S182" s="58"/>
      <x:c r="T182" s="58"/>
      <x:c r="U182" s="57" t="str">
        <x:f>IF(OR(A182="",X182&lt;&gt;"",J182="Cancelado"),"",S182*T182)</x:f>
      </x:c>
      <x:c r="V182" s="55" t="str">
        <x:f>IF(A182="","",IF(X182&lt;&gt;"","CORRIGIR DADOS",IF(J182="Cancelado","CANCELADO",IF(OR(J182="Fechado",J182="Resolvido"),"CONCLUÍDO",IF(OR(P182="ATRASADO",U182&gt;=Listas!$B$16),"ESCALAR",IF(AND(M182="ATRASADO",L182=""),"RESPONDER AGORA",IF(R182&gt;=Listas!$B$14,"REVISAR BACKLOG","ACOMPANHAR")))))))</x:f>
      </x:c>
      <x:c r="W182" s="28"/>
      <x:c r="X182" s="194" t="str">
        <x:f>IF(COUNTA(A182:J182,L182,O182,S182:T182,W182)=0,"",IF(OR(NOT(ISNUMBER(Listas!$B$14)),Listas!$B$14&lt;0,NOT(ISNUMBER(Listas!$B$16)),Listas!$B$16&lt;1,COUNT(Listas!$B$6:$C$9)&lt;&gt;8,MIN(Listas!$B$6:$C$9)&lt;=0),"Parâmetros inválidos",IF(A182="","ID ausente",IF(COUNTIFS($A$5:$A$204,A182)&lt;&gt;1,"ID duplicado",IF(OR(NOT(ISNUMBER(B182)),B182&lt;=0),"Abertura inválida",IF(OR(NOT(ISNUMBER(Listas!$B$18)),Listas!$B$18&lt;=0),"Data da análise inválida",IF(B182&gt;Listas!$B$18,"Abertura após análise",IF(COUNTIFS(Listas!$A$6:$A$9,H182)&lt;&gt;1,"Prioridade inválida",IF(COUNTIFS(Equipe!$A$5:$A$12,I182)&lt;&gt;1,"Responsável inválido",IF(COUNTIFS(Listas!$E$6:$E$11,J182)&lt;&gt;1,"Status inválido",IF(AND(L182&lt;&gt;"",OR(NOT(ISNUMBER(L182)),L182&lt;B182,L182&gt;Listas!$B$18)),"Resposta inválida",IF(AND(O182&lt;&gt;"",OR(NOT(ISNUMBER(O182)),O182&lt;B182,O182&gt;Listas!$B$18)),"Resolução inválida",IF(AND(OR(J182="Fechado",J182="Resolvido"),O182=""),"Conclusão sem resolução",IF(OR(NOT(ISNUMBER(S182)),S182&lt;1,S182&gt;5,IF(ISNUMBER(S182),S182&lt;&gt;INT(S182),FALSE),NOT(ISNUMBER(T182)),T182&lt;1,T182&gt;5,IF(ISNUMBER(T182),T182&lt;&gt;INT(T182),FALSE)),"Impacto ou urgência inválido",""))))))))))))))</x:f>
      </x:c>
      <x:c r="Y182" s="194" t="n">
        <x:f>IF(AND(COUNTA(A182:J182,L182,O182,S182:T182,W182)&gt;0,OR(Listas!$B$20="Todos",I182=Listas!$B$20)),1,0)</x:f>
        <x:v>0</x:v>
      </x:c>
      <x:c r="Z182" s="194" t="n">
        <x:f>IF(AND(Y182=1,X182="",J182&lt;&gt;"Cancelado",NOT(OR(J182="Fechado",J182="Resolvido"))),1,0)</x:f>
        <x:v>0</x:v>
      </x:c>
      <x:c r="AA182" s="194" t="n">
        <x:f>IF(AND(Y182=1,X182="",OR(J182="Fechado",J182="Resolvido")),1,0)</x:f>
        <x:v>0</x:v>
      </x:c>
      <x:c r="AB182" s="194" t="n">
        <x:f>IF(Y182=0,0,IF(X182&lt;&gt;"",1,IF(Z182=0,0,IF(P182="ATRASADO",2,IF(AND(M182="ATRASADO",L182=""),3,IF(V182="ESCALAR",4,IF(V182="REVISAR BACKLOG",5,0)))))))</x:f>
        <x:v>0</x:v>
      </x:c>
      <x:c r="AC182" s="194" t="str">
        <x:f>IF(AB182=0,"",COUNTIFS($AB$5:$AB$204,"&gt;0",$AB$5:$AB$204,"&lt;"&amp;AB182)+COUNTIFS($AB$5:AB182,AB182))</x:f>
      </x:c>
      <x:c r="AD182" s="194" t="n">
        <x:f>IF(AND(A182&lt;&gt;"",X182=""),1,0)</x:f>
        <x:v>0</x:v>
      </x:c>
      <x:c r="AE182" s="194" t="n">
        <x:f>IF(AND(Y182=1,X182&lt;&gt;""),1,0)</x:f>
        <x:v>0</x:v>
      </x:c>
      <x:c r="AF182" s="194" t="n">
        <x:f>IF(L182="",1,0)</x:f>
        <x:v>1</x:v>
      </x:c>
    </x:row>
    <x:row r="183">
      <x:c r="A183" s="28"/>
      <x:c r="B183" s="41"/>
      <x:c r="C183" s="28"/>
      <x:c r="D183" s="28"/>
      <x:c r="E183" s="28"/>
      <x:c r="F183" s="28"/>
      <x:c r="G183" s="28"/>
      <x:c r="H183" s="28"/>
      <x:c r="I183" s="28"/>
      <x:c r="J183" s="28"/>
      <x:c r="K183" s="54" t="str">
        <x:f>IF(OR(A183="",X183&lt;&gt;""),"",B183+INDEX(Listas!$B$6:$B$9,MATCH(H183,Listas!$A$6:$A$9,0))/24)</x:f>
      </x:c>
      <x:c r="L183" s="41"/>
      <x:c r="M183" s="55" t="str">
        <x:f>IF(A183="","",IF(X183&lt;&gt;"","DADO PENDENTE",IF(J183="Cancelado","N.A.",IF(L183&lt;&gt;"",IF(L183&lt;=K183,"ATENDIDO","ATRASADO"),IF(OR(J183="Fechado",J183="Resolvido"),"SEM EVIDÊNCIA",IF(Listas!$B$18&gt;K183,"ATRASADO","PENDENTE"))))))</x:f>
      </x:c>
      <x:c r="N183" s="54" t="str">
        <x:f>IF(OR(A183="",X183&lt;&gt;""),"",B183+INDEX(Listas!$C$6:$C$9,MATCH(H183,Listas!$A$6:$A$9,0))/24)</x:f>
      </x:c>
      <x:c r="O183" s="41"/>
      <x:c r="P183" s="55" t="str">
        <x:f>IF(A183="","",IF(X183&lt;&gt;"","DADO PENDENTE",IF(J183="Cancelado","N.A.",IF(OR(J183="Fechado",J183="Resolvido"),IF(O183&lt;=N183,"ATENDIDO","ATRASADO"),IF(Listas!$B$18&gt;N183,"ATRASADO","PENDENTE")))))</x:f>
      </x:c>
      <x:c r="Q183" s="56" t="str">
        <x:f>IF(OR(A183="",X183&lt;&gt;"",J183="Cancelado"),"",24*IF(OR(J183="Fechado",J183="Resolvido"),O183-B183,Listas!$B$18-B183))</x:f>
      </x:c>
      <x:c r="R183" s="57" t="str">
        <x:f>IF(OR(A183="",X183&lt;&gt;"",J183="Cancelado"),"",INT(IF(OR(J183="Fechado",J183="Resolvido"),O183-B183,Listas!$B$18-B183)))</x:f>
      </x:c>
      <x:c r="S183" s="58"/>
      <x:c r="T183" s="58"/>
      <x:c r="U183" s="57" t="str">
        <x:f>IF(OR(A183="",X183&lt;&gt;"",J183="Cancelado"),"",S183*T183)</x:f>
      </x:c>
      <x:c r="V183" s="55" t="str">
        <x:f>IF(A183="","",IF(X183&lt;&gt;"","CORRIGIR DADOS",IF(J183="Cancelado","CANCELADO",IF(OR(J183="Fechado",J183="Resolvido"),"CONCLUÍDO",IF(OR(P183="ATRASADO",U183&gt;=Listas!$B$16),"ESCALAR",IF(AND(M183="ATRASADO",L183=""),"RESPONDER AGORA",IF(R183&gt;=Listas!$B$14,"REVISAR BACKLOG","ACOMPANHAR")))))))</x:f>
      </x:c>
      <x:c r="W183" s="28"/>
      <x:c r="X183" s="194" t="str">
        <x:f>IF(COUNTA(A183:J183,L183,O183,S183:T183,W183)=0,"",IF(OR(NOT(ISNUMBER(Listas!$B$14)),Listas!$B$14&lt;0,NOT(ISNUMBER(Listas!$B$16)),Listas!$B$16&lt;1,COUNT(Listas!$B$6:$C$9)&lt;&gt;8,MIN(Listas!$B$6:$C$9)&lt;=0),"Parâmetros inválidos",IF(A183="","ID ausente",IF(COUNTIFS($A$5:$A$204,A183)&lt;&gt;1,"ID duplicado",IF(OR(NOT(ISNUMBER(B183)),B183&lt;=0),"Abertura inválida",IF(OR(NOT(ISNUMBER(Listas!$B$18)),Listas!$B$18&lt;=0),"Data da análise inválida",IF(B183&gt;Listas!$B$18,"Abertura após análise",IF(COUNTIFS(Listas!$A$6:$A$9,H183)&lt;&gt;1,"Prioridade inválida",IF(COUNTIFS(Equipe!$A$5:$A$12,I183)&lt;&gt;1,"Responsável inválido",IF(COUNTIFS(Listas!$E$6:$E$11,J183)&lt;&gt;1,"Status inválido",IF(AND(L183&lt;&gt;"",OR(NOT(ISNUMBER(L183)),L183&lt;B183,L183&gt;Listas!$B$18)),"Resposta inválida",IF(AND(O183&lt;&gt;"",OR(NOT(ISNUMBER(O183)),O183&lt;B183,O183&gt;Listas!$B$18)),"Resolução inválida",IF(AND(OR(J183="Fechado",J183="Resolvido"),O183=""),"Conclusão sem resolução",IF(OR(NOT(ISNUMBER(S183)),S183&lt;1,S183&gt;5,IF(ISNUMBER(S183),S183&lt;&gt;INT(S183),FALSE),NOT(ISNUMBER(T183)),T183&lt;1,T183&gt;5,IF(ISNUMBER(T183),T183&lt;&gt;INT(T183),FALSE)),"Impacto ou urgência inválido",""))))))))))))))</x:f>
      </x:c>
      <x:c r="Y183" s="194" t="n">
        <x:f>IF(AND(COUNTA(A183:J183,L183,O183,S183:T183,W183)&gt;0,OR(Listas!$B$20="Todos",I183=Listas!$B$20)),1,0)</x:f>
        <x:v>0</x:v>
      </x:c>
      <x:c r="Z183" s="194" t="n">
        <x:f>IF(AND(Y183=1,X183="",J183&lt;&gt;"Cancelado",NOT(OR(J183="Fechado",J183="Resolvido"))),1,0)</x:f>
        <x:v>0</x:v>
      </x:c>
      <x:c r="AA183" s="194" t="n">
        <x:f>IF(AND(Y183=1,X183="",OR(J183="Fechado",J183="Resolvido")),1,0)</x:f>
        <x:v>0</x:v>
      </x:c>
      <x:c r="AB183" s="194" t="n">
        <x:f>IF(Y183=0,0,IF(X183&lt;&gt;"",1,IF(Z183=0,0,IF(P183="ATRASADO",2,IF(AND(M183="ATRASADO",L183=""),3,IF(V183="ESCALAR",4,IF(V183="REVISAR BACKLOG",5,0)))))))</x:f>
        <x:v>0</x:v>
      </x:c>
      <x:c r="AC183" s="194" t="str">
        <x:f>IF(AB183=0,"",COUNTIFS($AB$5:$AB$204,"&gt;0",$AB$5:$AB$204,"&lt;"&amp;AB183)+COUNTIFS($AB$5:AB183,AB183))</x:f>
      </x:c>
      <x:c r="AD183" s="194" t="n">
        <x:f>IF(AND(A183&lt;&gt;"",X183=""),1,0)</x:f>
        <x:v>0</x:v>
      </x:c>
      <x:c r="AE183" s="194" t="n">
        <x:f>IF(AND(Y183=1,X183&lt;&gt;""),1,0)</x:f>
        <x:v>0</x:v>
      </x:c>
      <x:c r="AF183" s="194" t="n">
        <x:f>IF(L183="",1,0)</x:f>
        <x:v>1</x:v>
      </x:c>
    </x:row>
    <x:row r="184">
      <x:c r="A184" s="28"/>
      <x:c r="B184" s="41"/>
      <x:c r="C184" s="28"/>
      <x:c r="D184" s="28"/>
      <x:c r="E184" s="28"/>
      <x:c r="F184" s="28"/>
      <x:c r="G184" s="28"/>
      <x:c r="H184" s="28"/>
      <x:c r="I184" s="28"/>
      <x:c r="J184" s="28"/>
      <x:c r="K184" s="54" t="str">
        <x:f>IF(OR(A184="",X184&lt;&gt;""),"",B184+INDEX(Listas!$B$6:$B$9,MATCH(H184,Listas!$A$6:$A$9,0))/24)</x:f>
      </x:c>
      <x:c r="L184" s="41"/>
      <x:c r="M184" s="55" t="str">
        <x:f>IF(A184="","",IF(X184&lt;&gt;"","DADO PENDENTE",IF(J184="Cancelado","N.A.",IF(L184&lt;&gt;"",IF(L184&lt;=K184,"ATENDIDO","ATRASADO"),IF(OR(J184="Fechado",J184="Resolvido"),"SEM EVIDÊNCIA",IF(Listas!$B$18&gt;K184,"ATRASADO","PENDENTE"))))))</x:f>
      </x:c>
      <x:c r="N184" s="54" t="str">
        <x:f>IF(OR(A184="",X184&lt;&gt;""),"",B184+INDEX(Listas!$C$6:$C$9,MATCH(H184,Listas!$A$6:$A$9,0))/24)</x:f>
      </x:c>
      <x:c r="O184" s="41"/>
      <x:c r="P184" s="55" t="str">
        <x:f>IF(A184="","",IF(X184&lt;&gt;"","DADO PENDENTE",IF(J184="Cancelado","N.A.",IF(OR(J184="Fechado",J184="Resolvido"),IF(O184&lt;=N184,"ATENDIDO","ATRASADO"),IF(Listas!$B$18&gt;N184,"ATRASADO","PENDENTE")))))</x:f>
      </x:c>
      <x:c r="Q184" s="56" t="str">
        <x:f>IF(OR(A184="",X184&lt;&gt;"",J184="Cancelado"),"",24*IF(OR(J184="Fechado",J184="Resolvido"),O184-B184,Listas!$B$18-B184))</x:f>
      </x:c>
      <x:c r="R184" s="57" t="str">
        <x:f>IF(OR(A184="",X184&lt;&gt;"",J184="Cancelado"),"",INT(IF(OR(J184="Fechado",J184="Resolvido"),O184-B184,Listas!$B$18-B184)))</x:f>
      </x:c>
      <x:c r="S184" s="58"/>
      <x:c r="T184" s="58"/>
      <x:c r="U184" s="57" t="str">
        <x:f>IF(OR(A184="",X184&lt;&gt;"",J184="Cancelado"),"",S184*T184)</x:f>
      </x:c>
      <x:c r="V184" s="55" t="str">
        <x:f>IF(A184="","",IF(X184&lt;&gt;"","CORRIGIR DADOS",IF(J184="Cancelado","CANCELADO",IF(OR(J184="Fechado",J184="Resolvido"),"CONCLUÍDO",IF(OR(P184="ATRASADO",U184&gt;=Listas!$B$16),"ESCALAR",IF(AND(M184="ATRASADO",L184=""),"RESPONDER AGORA",IF(R184&gt;=Listas!$B$14,"REVISAR BACKLOG","ACOMPANHAR")))))))</x:f>
      </x:c>
      <x:c r="W184" s="28"/>
      <x:c r="X184" s="194" t="str">
        <x:f>IF(COUNTA(A184:J184,L184,O184,S184:T184,W184)=0,"",IF(OR(NOT(ISNUMBER(Listas!$B$14)),Listas!$B$14&lt;0,NOT(ISNUMBER(Listas!$B$16)),Listas!$B$16&lt;1,COUNT(Listas!$B$6:$C$9)&lt;&gt;8,MIN(Listas!$B$6:$C$9)&lt;=0),"Parâmetros inválidos",IF(A184="","ID ausente",IF(COUNTIFS($A$5:$A$204,A184)&lt;&gt;1,"ID duplicado",IF(OR(NOT(ISNUMBER(B184)),B184&lt;=0),"Abertura inválida",IF(OR(NOT(ISNUMBER(Listas!$B$18)),Listas!$B$18&lt;=0),"Data da análise inválida",IF(B184&gt;Listas!$B$18,"Abertura após análise",IF(COUNTIFS(Listas!$A$6:$A$9,H184)&lt;&gt;1,"Prioridade inválida",IF(COUNTIFS(Equipe!$A$5:$A$12,I184)&lt;&gt;1,"Responsável inválido",IF(COUNTIFS(Listas!$E$6:$E$11,J184)&lt;&gt;1,"Status inválido",IF(AND(L184&lt;&gt;"",OR(NOT(ISNUMBER(L184)),L184&lt;B184,L184&gt;Listas!$B$18)),"Resposta inválida",IF(AND(O184&lt;&gt;"",OR(NOT(ISNUMBER(O184)),O184&lt;B184,O184&gt;Listas!$B$18)),"Resolução inválida",IF(AND(OR(J184="Fechado",J184="Resolvido"),O184=""),"Conclusão sem resolução",IF(OR(NOT(ISNUMBER(S184)),S184&lt;1,S184&gt;5,IF(ISNUMBER(S184),S184&lt;&gt;INT(S184),FALSE),NOT(ISNUMBER(T184)),T184&lt;1,T184&gt;5,IF(ISNUMBER(T184),T184&lt;&gt;INT(T184),FALSE)),"Impacto ou urgência inválido",""))))))))))))))</x:f>
      </x:c>
      <x:c r="Y184" s="194" t="n">
        <x:f>IF(AND(COUNTA(A184:J184,L184,O184,S184:T184,W184)&gt;0,OR(Listas!$B$20="Todos",I184=Listas!$B$20)),1,0)</x:f>
        <x:v>0</x:v>
      </x:c>
      <x:c r="Z184" s="194" t="n">
        <x:f>IF(AND(Y184=1,X184="",J184&lt;&gt;"Cancelado",NOT(OR(J184="Fechado",J184="Resolvido"))),1,0)</x:f>
        <x:v>0</x:v>
      </x:c>
      <x:c r="AA184" s="194" t="n">
        <x:f>IF(AND(Y184=1,X184="",OR(J184="Fechado",J184="Resolvido")),1,0)</x:f>
        <x:v>0</x:v>
      </x:c>
      <x:c r="AB184" s="194" t="n">
        <x:f>IF(Y184=0,0,IF(X184&lt;&gt;"",1,IF(Z184=0,0,IF(P184="ATRASADO",2,IF(AND(M184="ATRASADO",L184=""),3,IF(V184="ESCALAR",4,IF(V184="REVISAR BACKLOG",5,0)))))))</x:f>
        <x:v>0</x:v>
      </x:c>
      <x:c r="AC184" s="194" t="str">
        <x:f>IF(AB184=0,"",COUNTIFS($AB$5:$AB$204,"&gt;0",$AB$5:$AB$204,"&lt;"&amp;AB184)+COUNTIFS($AB$5:AB184,AB184))</x:f>
      </x:c>
      <x:c r="AD184" s="194" t="n">
        <x:f>IF(AND(A184&lt;&gt;"",X184=""),1,0)</x:f>
        <x:v>0</x:v>
      </x:c>
      <x:c r="AE184" s="194" t="n">
        <x:f>IF(AND(Y184=1,X184&lt;&gt;""),1,0)</x:f>
        <x:v>0</x:v>
      </x:c>
      <x:c r="AF184" s="194" t="n">
        <x:f>IF(L184="",1,0)</x:f>
        <x:v>1</x:v>
      </x:c>
    </x:row>
    <x:row r="185">
      <x:c r="A185" s="28"/>
      <x:c r="B185" s="41"/>
      <x:c r="C185" s="28"/>
      <x:c r="D185" s="28"/>
      <x:c r="E185" s="28"/>
      <x:c r="F185" s="28"/>
      <x:c r="G185" s="28"/>
      <x:c r="H185" s="28"/>
      <x:c r="I185" s="28"/>
      <x:c r="J185" s="28"/>
      <x:c r="K185" s="54" t="str">
        <x:f>IF(OR(A185="",X185&lt;&gt;""),"",B185+INDEX(Listas!$B$6:$B$9,MATCH(H185,Listas!$A$6:$A$9,0))/24)</x:f>
      </x:c>
      <x:c r="L185" s="41"/>
      <x:c r="M185" s="55" t="str">
        <x:f>IF(A185="","",IF(X185&lt;&gt;"","DADO PENDENTE",IF(J185="Cancelado","N.A.",IF(L185&lt;&gt;"",IF(L185&lt;=K185,"ATENDIDO","ATRASADO"),IF(OR(J185="Fechado",J185="Resolvido"),"SEM EVIDÊNCIA",IF(Listas!$B$18&gt;K185,"ATRASADO","PENDENTE"))))))</x:f>
      </x:c>
      <x:c r="N185" s="54" t="str">
        <x:f>IF(OR(A185="",X185&lt;&gt;""),"",B185+INDEX(Listas!$C$6:$C$9,MATCH(H185,Listas!$A$6:$A$9,0))/24)</x:f>
      </x:c>
      <x:c r="O185" s="41"/>
      <x:c r="P185" s="55" t="str">
        <x:f>IF(A185="","",IF(X185&lt;&gt;"","DADO PENDENTE",IF(J185="Cancelado","N.A.",IF(OR(J185="Fechado",J185="Resolvido"),IF(O185&lt;=N185,"ATENDIDO","ATRASADO"),IF(Listas!$B$18&gt;N185,"ATRASADO","PENDENTE")))))</x:f>
      </x:c>
      <x:c r="Q185" s="56" t="str">
        <x:f>IF(OR(A185="",X185&lt;&gt;"",J185="Cancelado"),"",24*IF(OR(J185="Fechado",J185="Resolvido"),O185-B185,Listas!$B$18-B185))</x:f>
      </x:c>
      <x:c r="R185" s="57" t="str">
        <x:f>IF(OR(A185="",X185&lt;&gt;"",J185="Cancelado"),"",INT(IF(OR(J185="Fechado",J185="Resolvido"),O185-B185,Listas!$B$18-B185)))</x:f>
      </x:c>
      <x:c r="S185" s="58"/>
      <x:c r="T185" s="58"/>
      <x:c r="U185" s="57" t="str">
        <x:f>IF(OR(A185="",X185&lt;&gt;"",J185="Cancelado"),"",S185*T185)</x:f>
      </x:c>
      <x:c r="V185" s="55" t="str">
        <x:f>IF(A185="","",IF(X185&lt;&gt;"","CORRIGIR DADOS",IF(J185="Cancelado","CANCELADO",IF(OR(J185="Fechado",J185="Resolvido"),"CONCLUÍDO",IF(OR(P185="ATRASADO",U185&gt;=Listas!$B$16),"ESCALAR",IF(AND(M185="ATRASADO",L185=""),"RESPONDER AGORA",IF(R185&gt;=Listas!$B$14,"REVISAR BACKLOG","ACOMPANHAR")))))))</x:f>
      </x:c>
      <x:c r="W185" s="28"/>
      <x:c r="X185" s="194" t="str">
        <x:f>IF(COUNTA(A185:J185,L185,O185,S185:T185,W185)=0,"",IF(OR(NOT(ISNUMBER(Listas!$B$14)),Listas!$B$14&lt;0,NOT(ISNUMBER(Listas!$B$16)),Listas!$B$16&lt;1,COUNT(Listas!$B$6:$C$9)&lt;&gt;8,MIN(Listas!$B$6:$C$9)&lt;=0),"Parâmetros inválidos",IF(A185="","ID ausente",IF(COUNTIFS($A$5:$A$204,A185)&lt;&gt;1,"ID duplicado",IF(OR(NOT(ISNUMBER(B185)),B185&lt;=0),"Abertura inválida",IF(OR(NOT(ISNUMBER(Listas!$B$18)),Listas!$B$18&lt;=0),"Data da análise inválida",IF(B185&gt;Listas!$B$18,"Abertura após análise",IF(COUNTIFS(Listas!$A$6:$A$9,H185)&lt;&gt;1,"Prioridade inválida",IF(COUNTIFS(Equipe!$A$5:$A$12,I185)&lt;&gt;1,"Responsável inválido",IF(COUNTIFS(Listas!$E$6:$E$11,J185)&lt;&gt;1,"Status inválido",IF(AND(L185&lt;&gt;"",OR(NOT(ISNUMBER(L185)),L185&lt;B185,L185&gt;Listas!$B$18)),"Resposta inválida",IF(AND(O185&lt;&gt;"",OR(NOT(ISNUMBER(O185)),O185&lt;B185,O185&gt;Listas!$B$18)),"Resolução inválida",IF(AND(OR(J185="Fechado",J185="Resolvido"),O185=""),"Conclusão sem resolução",IF(OR(NOT(ISNUMBER(S185)),S185&lt;1,S185&gt;5,IF(ISNUMBER(S185),S185&lt;&gt;INT(S185),FALSE),NOT(ISNUMBER(T185)),T185&lt;1,T185&gt;5,IF(ISNUMBER(T185),T185&lt;&gt;INT(T185),FALSE)),"Impacto ou urgência inválido",""))))))))))))))</x:f>
      </x:c>
      <x:c r="Y185" s="194" t="n">
        <x:f>IF(AND(COUNTA(A185:J185,L185,O185,S185:T185,W185)&gt;0,OR(Listas!$B$20="Todos",I185=Listas!$B$20)),1,0)</x:f>
        <x:v>0</x:v>
      </x:c>
      <x:c r="Z185" s="194" t="n">
        <x:f>IF(AND(Y185=1,X185="",J185&lt;&gt;"Cancelado",NOT(OR(J185="Fechado",J185="Resolvido"))),1,0)</x:f>
        <x:v>0</x:v>
      </x:c>
      <x:c r="AA185" s="194" t="n">
        <x:f>IF(AND(Y185=1,X185="",OR(J185="Fechado",J185="Resolvido")),1,0)</x:f>
        <x:v>0</x:v>
      </x:c>
      <x:c r="AB185" s="194" t="n">
        <x:f>IF(Y185=0,0,IF(X185&lt;&gt;"",1,IF(Z185=0,0,IF(P185="ATRASADO",2,IF(AND(M185="ATRASADO",L185=""),3,IF(V185="ESCALAR",4,IF(V185="REVISAR BACKLOG",5,0)))))))</x:f>
        <x:v>0</x:v>
      </x:c>
      <x:c r="AC185" s="194" t="str">
        <x:f>IF(AB185=0,"",COUNTIFS($AB$5:$AB$204,"&gt;0",$AB$5:$AB$204,"&lt;"&amp;AB185)+COUNTIFS($AB$5:AB185,AB185))</x:f>
      </x:c>
      <x:c r="AD185" s="194" t="n">
        <x:f>IF(AND(A185&lt;&gt;"",X185=""),1,0)</x:f>
        <x:v>0</x:v>
      </x:c>
      <x:c r="AE185" s="194" t="n">
        <x:f>IF(AND(Y185=1,X185&lt;&gt;""),1,0)</x:f>
        <x:v>0</x:v>
      </x:c>
      <x:c r="AF185" s="194" t="n">
        <x:f>IF(L185="",1,0)</x:f>
        <x:v>1</x:v>
      </x:c>
    </x:row>
    <x:row r="186">
      <x:c r="A186" s="28"/>
      <x:c r="B186" s="41"/>
      <x:c r="C186" s="28"/>
      <x:c r="D186" s="28"/>
      <x:c r="E186" s="28"/>
      <x:c r="F186" s="28"/>
      <x:c r="G186" s="28"/>
      <x:c r="H186" s="28"/>
      <x:c r="I186" s="28"/>
      <x:c r="J186" s="28"/>
      <x:c r="K186" s="54" t="str">
        <x:f>IF(OR(A186="",X186&lt;&gt;""),"",B186+INDEX(Listas!$B$6:$B$9,MATCH(H186,Listas!$A$6:$A$9,0))/24)</x:f>
      </x:c>
      <x:c r="L186" s="41"/>
      <x:c r="M186" s="55" t="str">
        <x:f>IF(A186="","",IF(X186&lt;&gt;"","DADO PENDENTE",IF(J186="Cancelado","N.A.",IF(L186&lt;&gt;"",IF(L186&lt;=K186,"ATENDIDO","ATRASADO"),IF(OR(J186="Fechado",J186="Resolvido"),"SEM EVIDÊNCIA",IF(Listas!$B$18&gt;K186,"ATRASADO","PENDENTE"))))))</x:f>
      </x:c>
      <x:c r="N186" s="54" t="str">
        <x:f>IF(OR(A186="",X186&lt;&gt;""),"",B186+INDEX(Listas!$C$6:$C$9,MATCH(H186,Listas!$A$6:$A$9,0))/24)</x:f>
      </x:c>
      <x:c r="O186" s="41"/>
      <x:c r="P186" s="55" t="str">
        <x:f>IF(A186="","",IF(X186&lt;&gt;"","DADO PENDENTE",IF(J186="Cancelado","N.A.",IF(OR(J186="Fechado",J186="Resolvido"),IF(O186&lt;=N186,"ATENDIDO","ATRASADO"),IF(Listas!$B$18&gt;N186,"ATRASADO","PENDENTE")))))</x:f>
      </x:c>
      <x:c r="Q186" s="56" t="str">
        <x:f>IF(OR(A186="",X186&lt;&gt;"",J186="Cancelado"),"",24*IF(OR(J186="Fechado",J186="Resolvido"),O186-B186,Listas!$B$18-B186))</x:f>
      </x:c>
      <x:c r="R186" s="57" t="str">
        <x:f>IF(OR(A186="",X186&lt;&gt;"",J186="Cancelado"),"",INT(IF(OR(J186="Fechado",J186="Resolvido"),O186-B186,Listas!$B$18-B186)))</x:f>
      </x:c>
      <x:c r="S186" s="58"/>
      <x:c r="T186" s="58"/>
      <x:c r="U186" s="57" t="str">
        <x:f>IF(OR(A186="",X186&lt;&gt;"",J186="Cancelado"),"",S186*T186)</x:f>
      </x:c>
      <x:c r="V186" s="55" t="str">
        <x:f>IF(A186="","",IF(X186&lt;&gt;"","CORRIGIR DADOS",IF(J186="Cancelado","CANCELADO",IF(OR(J186="Fechado",J186="Resolvido"),"CONCLUÍDO",IF(OR(P186="ATRASADO",U186&gt;=Listas!$B$16),"ESCALAR",IF(AND(M186="ATRASADO",L186=""),"RESPONDER AGORA",IF(R186&gt;=Listas!$B$14,"REVISAR BACKLOG","ACOMPANHAR")))))))</x:f>
      </x:c>
      <x:c r="W186" s="28"/>
      <x:c r="X186" s="194" t="str">
        <x:f>IF(COUNTA(A186:J186,L186,O186,S186:T186,W186)=0,"",IF(OR(NOT(ISNUMBER(Listas!$B$14)),Listas!$B$14&lt;0,NOT(ISNUMBER(Listas!$B$16)),Listas!$B$16&lt;1,COUNT(Listas!$B$6:$C$9)&lt;&gt;8,MIN(Listas!$B$6:$C$9)&lt;=0),"Parâmetros inválidos",IF(A186="","ID ausente",IF(COUNTIFS($A$5:$A$204,A186)&lt;&gt;1,"ID duplicado",IF(OR(NOT(ISNUMBER(B186)),B186&lt;=0),"Abertura inválida",IF(OR(NOT(ISNUMBER(Listas!$B$18)),Listas!$B$18&lt;=0),"Data da análise inválida",IF(B186&gt;Listas!$B$18,"Abertura após análise",IF(COUNTIFS(Listas!$A$6:$A$9,H186)&lt;&gt;1,"Prioridade inválida",IF(COUNTIFS(Equipe!$A$5:$A$12,I186)&lt;&gt;1,"Responsável inválido",IF(COUNTIFS(Listas!$E$6:$E$11,J186)&lt;&gt;1,"Status inválido",IF(AND(L186&lt;&gt;"",OR(NOT(ISNUMBER(L186)),L186&lt;B186,L186&gt;Listas!$B$18)),"Resposta inválida",IF(AND(O186&lt;&gt;"",OR(NOT(ISNUMBER(O186)),O186&lt;B186,O186&gt;Listas!$B$18)),"Resolução inválida",IF(AND(OR(J186="Fechado",J186="Resolvido"),O186=""),"Conclusão sem resolução",IF(OR(NOT(ISNUMBER(S186)),S186&lt;1,S186&gt;5,IF(ISNUMBER(S186),S186&lt;&gt;INT(S186),FALSE),NOT(ISNUMBER(T186)),T186&lt;1,T186&gt;5,IF(ISNUMBER(T186),T186&lt;&gt;INT(T186),FALSE)),"Impacto ou urgência inválido",""))))))))))))))</x:f>
      </x:c>
      <x:c r="Y186" s="194" t="n">
        <x:f>IF(AND(COUNTA(A186:J186,L186,O186,S186:T186,W186)&gt;0,OR(Listas!$B$20="Todos",I186=Listas!$B$20)),1,0)</x:f>
        <x:v>0</x:v>
      </x:c>
      <x:c r="Z186" s="194" t="n">
        <x:f>IF(AND(Y186=1,X186="",J186&lt;&gt;"Cancelado",NOT(OR(J186="Fechado",J186="Resolvido"))),1,0)</x:f>
        <x:v>0</x:v>
      </x:c>
      <x:c r="AA186" s="194" t="n">
        <x:f>IF(AND(Y186=1,X186="",OR(J186="Fechado",J186="Resolvido")),1,0)</x:f>
        <x:v>0</x:v>
      </x:c>
      <x:c r="AB186" s="194" t="n">
        <x:f>IF(Y186=0,0,IF(X186&lt;&gt;"",1,IF(Z186=0,0,IF(P186="ATRASADO",2,IF(AND(M186="ATRASADO",L186=""),3,IF(V186="ESCALAR",4,IF(V186="REVISAR BACKLOG",5,0)))))))</x:f>
        <x:v>0</x:v>
      </x:c>
      <x:c r="AC186" s="194" t="str">
        <x:f>IF(AB186=0,"",COUNTIFS($AB$5:$AB$204,"&gt;0",$AB$5:$AB$204,"&lt;"&amp;AB186)+COUNTIFS($AB$5:AB186,AB186))</x:f>
      </x:c>
      <x:c r="AD186" s="194" t="n">
        <x:f>IF(AND(A186&lt;&gt;"",X186=""),1,0)</x:f>
        <x:v>0</x:v>
      </x:c>
      <x:c r="AE186" s="194" t="n">
        <x:f>IF(AND(Y186=1,X186&lt;&gt;""),1,0)</x:f>
        <x:v>0</x:v>
      </x:c>
      <x:c r="AF186" s="194" t="n">
        <x:f>IF(L186="",1,0)</x:f>
        <x:v>1</x:v>
      </x:c>
    </x:row>
    <x:row r="187">
      <x:c r="A187" s="28"/>
      <x:c r="B187" s="41"/>
      <x:c r="C187" s="28"/>
      <x:c r="D187" s="28"/>
      <x:c r="E187" s="28"/>
      <x:c r="F187" s="28"/>
      <x:c r="G187" s="28"/>
      <x:c r="H187" s="28"/>
      <x:c r="I187" s="28"/>
      <x:c r="J187" s="28"/>
      <x:c r="K187" s="54" t="str">
        <x:f>IF(OR(A187="",X187&lt;&gt;""),"",B187+INDEX(Listas!$B$6:$B$9,MATCH(H187,Listas!$A$6:$A$9,0))/24)</x:f>
      </x:c>
      <x:c r="L187" s="41"/>
      <x:c r="M187" s="55" t="str">
        <x:f>IF(A187="","",IF(X187&lt;&gt;"","DADO PENDENTE",IF(J187="Cancelado","N.A.",IF(L187&lt;&gt;"",IF(L187&lt;=K187,"ATENDIDO","ATRASADO"),IF(OR(J187="Fechado",J187="Resolvido"),"SEM EVIDÊNCIA",IF(Listas!$B$18&gt;K187,"ATRASADO","PENDENTE"))))))</x:f>
      </x:c>
      <x:c r="N187" s="54" t="str">
        <x:f>IF(OR(A187="",X187&lt;&gt;""),"",B187+INDEX(Listas!$C$6:$C$9,MATCH(H187,Listas!$A$6:$A$9,0))/24)</x:f>
      </x:c>
      <x:c r="O187" s="41"/>
      <x:c r="P187" s="55" t="str">
        <x:f>IF(A187="","",IF(X187&lt;&gt;"","DADO PENDENTE",IF(J187="Cancelado","N.A.",IF(OR(J187="Fechado",J187="Resolvido"),IF(O187&lt;=N187,"ATENDIDO","ATRASADO"),IF(Listas!$B$18&gt;N187,"ATRASADO","PENDENTE")))))</x:f>
      </x:c>
      <x:c r="Q187" s="56" t="str">
        <x:f>IF(OR(A187="",X187&lt;&gt;"",J187="Cancelado"),"",24*IF(OR(J187="Fechado",J187="Resolvido"),O187-B187,Listas!$B$18-B187))</x:f>
      </x:c>
      <x:c r="R187" s="57" t="str">
        <x:f>IF(OR(A187="",X187&lt;&gt;"",J187="Cancelado"),"",INT(IF(OR(J187="Fechado",J187="Resolvido"),O187-B187,Listas!$B$18-B187)))</x:f>
      </x:c>
      <x:c r="S187" s="58"/>
      <x:c r="T187" s="58"/>
      <x:c r="U187" s="57" t="str">
        <x:f>IF(OR(A187="",X187&lt;&gt;"",J187="Cancelado"),"",S187*T187)</x:f>
      </x:c>
      <x:c r="V187" s="55" t="str">
        <x:f>IF(A187="","",IF(X187&lt;&gt;"","CORRIGIR DADOS",IF(J187="Cancelado","CANCELADO",IF(OR(J187="Fechado",J187="Resolvido"),"CONCLUÍDO",IF(OR(P187="ATRASADO",U187&gt;=Listas!$B$16),"ESCALAR",IF(AND(M187="ATRASADO",L187=""),"RESPONDER AGORA",IF(R187&gt;=Listas!$B$14,"REVISAR BACKLOG","ACOMPANHAR")))))))</x:f>
      </x:c>
      <x:c r="W187" s="28"/>
      <x:c r="X187" s="194" t="str">
        <x:f>IF(COUNTA(A187:J187,L187,O187,S187:T187,W187)=0,"",IF(OR(NOT(ISNUMBER(Listas!$B$14)),Listas!$B$14&lt;0,NOT(ISNUMBER(Listas!$B$16)),Listas!$B$16&lt;1,COUNT(Listas!$B$6:$C$9)&lt;&gt;8,MIN(Listas!$B$6:$C$9)&lt;=0),"Parâmetros inválidos",IF(A187="","ID ausente",IF(COUNTIFS($A$5:$A$204,A187)&lt;&gt;1,"ID duplicado",IF(OR(NOT(ISNUMBER(B187)),B187&lt;=0),"Abertura inválida",IF(OR(NOT(ISNUMBER(Listas!$B$18)),Listas!$B$18&lt;=0),"Data da análise inválida",IF(B187&gt;Listas!$B$18,"Abertura após análise",IF(COUNTIFS(Listas!$A$6:$A$9,H187)&lt;&gt;1,"Prioridade inválida",IF(COUNTIFS(Equipe!$A$5:$A$12,I187)&lt;&gt;1,"Responsável inválido",IF(COUNTIFS(Listas!$E$6:$E$11,J187)&lt;&gt;1,"Status inválido",IF(AND(L187&lt;&gt;"",OR(NOT(ISNUMBER(L187)),L187&lt;B187,L187&gt;Listas!$B$18)),"Resposta inválida",IF(AND(O187&lt;&gt;"",OR(NOT(ISNUMBER(O187)),O187&lt;B187,O187&gt;Listas!$B$18)),"Resolução inválida",IF(AND(OR(J187="Fechado",J187="Resolvido"),O187=""),"Conclusão sem resolução",IF(OR(NOT(ISNUMBER(S187)),S187&lt;1,S187&gt;5,IF(ISNUMBER(S187),S187&lt;&gt;INT(S187),FALSE),NOT(ISNUMBER(T187)),T187&lt;1,T187&gt;5,IF(ISNUMBER(T187),T187&lt;&gt;INT(T187),FALSE)),"Impacto ou urgência inválido",""))))))))))))))</x:f>
      </x:c>
      <x:c r="Y187" s="194" t="n">
        <x:f>IF(AND(COUNTA(A187:J187,L187,O187,S187:T187,W187)&gt;0,OR(Listas!$B$20="Todos",I187=Listas!$B$20)),1,0)</x:f>
        <x:v>0</x:v>
      </x:c>
      <x:c r="Z187" s="194" t="n">
        <x:f>IF(AND(Y187=1,X187="",J187&lt;&gt;"Cancelado",NOT(OR(J187="Fechado",J187="Resolvido"))),1,0)</x:f>
        <x:v>0</x:v>
      </x:c>
      <x:c r="AA187" s="194" t="n">
        <x:f>IF(AND(Y187=1,X187="",OR(J187="Fechado",J187="Resolvido")),1,0)</x:f>
        <x:v>0</x:v>
      </x:c>
      <x:c r="AB187" s="194" t="n">
        <x:f>IF(Y187=0,0,IF(X187&lt;&gt;"",1,IF(Z187=0,0,IF(P187="ATRASADO",2,IF(AND(M187="ATRASADO",L187=""),3,IF(V187="ESCALAR",4,IF(V187="REVISAR BACKLOG",5,0)))))))</x:f>
        <x:v>0</x:v>
      </x:c>
      <x:c r="AC187" s="194" t="str">
        <x:f>IF(AB187=0,"",COUNTIFS($AB$5:$AB$204,"&gt;0",$AB$5:$AB$204,"&lt;"&amp;AB187)+COUNTIFS($AB$5:AB187,AB187))</x:f>
      </x:c>
      <x:c r="AD187" s="194" t="n">
        <x:f>IF(AND(A187&lt;&gt;"",X187=""),1,0)</x:f>
        <x:v>0</x:v>
      </x:c>
      <x:c r="AE187" s="194" t="n">
        <x:f>IF(AND(Y187=1,X187&lt;&gt;""),1,0)</x:f>
        <x:v>0</x:v>
      </x:c>
      <x:c r="AF187" s="194" t="n">
        <x:f>IF(L187="",1,0)</x:f>
        <x:v>1</x:v>
      </x:c>
    </x:row>
    <x:row r="188">
      <x:c r="A188" s="28"/>
      <x:c r="B188" s="41"/>
      <x:c r="C188" s="28"/>
      <x:c r="D188" s="28"/>
      <x:c r="E188" s="28"/>
      <x:c r="F188" s="28"/>
      <x:c r="G188" s="28"/>
      <x:c r="H188" s="28"/>
      <x:c r="I188" s="28"/>
      <x:c r="J188" s="28"/>
      <x:c r="K188" s="54" t="str">
        <x:f>IF(OR(A188="",X188&lt;&gt;""),"",B188+INDEX(Listas!$B$6:$B$9,MATCH(H188,Listas!$A$6:$A$9,0))/24)</x:f>
      </x:c>
      <x:c r="L188" s="41"/>
      <x:c r="M188" s="55" t="str">
        <x:f>IF(A188="","",IF(X188&lt;&gt;"","DADO PENDENTE",IF(J188="Cancelado","N.A.",IF(L188&lt;&gt;"",IF(L188&lt;=K188,"ATENDIDO","ATRASADO"),IF(OR(J188="Fechado",J188="Resolvido"),"SEM EVIDÊNCIA",IF(Listas!$B$18&gt;K188,"ATRASADO","PENDENTE"))))))</x:f>
      </x:c>
      <x:c r="N188" s="54" t="str">
        <x:f>IF(OR(A188="",X188&lt;&gt;""),"",B188+INDEX(Listas!$C$6:$C$9,MATCH(H188,Listas!$A$6:$A$9,0))/24)</x:f>
      </x:c>
      <x:c r="O188" s="41"/>
      <x:c r="P188" s="55" t="str">
        <x:f>IF(A188="","",IF(X188&lt;&gt;"","DADO PENDENTE",IF(J188="Cancelado","N.A.",IF(OR(J188="Fechado",J188="Resolvido"),IF(O188&lt;=N188,"ATENDIDO","ATRASADO"),IF(Listas!$B$18&gt;N188,"ATRASADO","PENDENTE")))))</x:f>
      </x:c>
      <x:c r="Q188" s="56" t="str">
        <x:f>IF(OR(A188="",X188&lt;&gt;"",J188="Cancelado"),"",24*IF(OR(J188="Fechado",J188="Resolvido"),O188-B188,Listas!$B$18-B188))</x:f>
      </x:c>
      <x:c r="R188" s="57" t="str">
        <x:f>IF(OR(A188="",X188&lt;&gt;"",J188="Cancelado"),"",INT(IF(OR(J188="Fechado",J188="Resolvido"),O188-B188,Listas!$B$18-B188)))</x:f>
      </x:c>
      <x:c r="S188" s="58"/>
      <x:c r="T188" s="58"/>
      <x:c r="U188" s="57" t="str">
        <x:f>IF(OR(A188="",X188&lt;&gt;"",J188="Cancelado"),"",S188*T188)</x:f>
      </x:c>
      <x:c r="V188" s="55" t="str">
        <x:f>IF(A188="","",IF(X188&lt;&gt;"","CORRIGIR DADOS",IF(J188="Cancelado","CANCELADO",IF(OR(J188="Fechado",J188="Resolvido"),"CONCLUÍDO",IF(OR(P188="ATRASADO",U188&gt;=Listas!$B$16),"ESCALAR",IF(AND(M188="ATRASADO",L188=""),"RESPONDER AGORA",IF(R188&gt;=Listas!$B$14,"REVISAR BACKLOG","ACOMPANHAR")))))))</x:f>
      </x:c>
      <x:c r="W188" s="28"/>
      <x:c r="X188" s="194" t="str">
        <x:f>IF(COUNTA(A188:J188,L188,O188,S188:T188,W188)=0,"",IF(OR(NOT(ISNUMBER(Listas!$B$14)),Listas!$B$14&lt;0,NOT(ISNUMBER(Listas!$B$16)),Listas!$B$16&lt;1,COUNT(Listas!$B$6:$C$9)&lt;&gt;8,MIN(Listas!$B$6:$C$9)&lt;=0),"Parâmetros inválidos",IF(A188="","ID ausente",IF(COUNTIFS($A$5:$A$204,A188)&lt;&gt;1,"ID duplicado",IF(OR(NOT(ISNUMBER(B188)),B188&lt;=0),"Abertura inválida",IF(OR(NOT(ISNUMBER(Listas!$B$18)),Listas!$B$18&lt;=0),"Data da análise inválida",IF(B188&gt;Listas!$B$18,"Abertura após análise",IF(COUNTIFS(Listas!$A$6:$A$9,H188)&lt;&gt;1,"Prioridade inválida",IF(COUNTIFS(Equipe!$A$5:$A$12,I188)&lt;&gt;1,"Responsável inválido",IF(COUNTIFS(Listas!$E$6:$E$11,J188)&lt;&gt;1,"Status inválido",IF(AND(L188&lt;&gt;"",OR(NOT(ISNUMBER(L188)),L188&lt;B188,L188&gt;Listas!$B$18)),"Resposta inválida",IF(AND(O188&lt;&gt;"",OR(NOT(ISNUMBER(O188)),O188&lt;B188,O188&gt;Listas!$B$18)),"Resolução inválida",IF(AND(OR(J188="Fechado",J188="Resolvido"),O188=""),"Conclusão sem resolução",IF(OR(NOT(ISNUMBER(S188)),S188&lt;1,S188&gt;5,IF(ISNUMBER(S188),S188&lt;&gt;INT(S188),FALSE),NOT(ISNUMBER(T188)),T188&lt;1,T188&gt;5,IF(ISNUMBER(T188),T188&lt;&gt;INT(T188),FALSE)),"Impacto ou urgência inválido",""))))))))))))))</x:f>
      </x:c>
      <x:c r="Y188" s="194" t="n">
        <x:f>IF(AND(COUNTA(A188:J188,L188,O188,S188:T188,W188)&gt;0,OR(Listas!$B$20="Todos",I188=Listas!$B$20)),1,0)</x:f>
        <x:v>0</x:v>
      </x:c>
      <x:c r="Z188" s="194" t="n">
        <x:f>IF(AND(Y188=1,X188="",J188&lt;&gt;"Cancelado",NOT(OR(J188="Fechado",J188="Resolvido"))),1,0)</x:f>
        <x:v>0</x:v>
      </x:c>
      <x:c r="AA188" s="194" t="n">
        <x:f>IF(AND(Y188=1,X188="",OR(J188="Fechado",J188="Resolvido")),1,0)</x:f>
        <x:v>0</x:v>
      </x:c>
      <x:c r="AB188" s="194" t="n">
        <x:f>IF(Y188=0,0,IF(X188&lt;&gt;"",1,IF(Z188=0,0,IF(P188="ATRASADO",2,IF(AND(M188="ATRASADO",L188=""),3,IF(V188="ESCALAR",4,IF(V188="REVISAR BACKLOG",5,0)))))))</x:f>
        <x:v>0</x:v>
      </x:c>
      <x:c r="AC188" s="194" t="str">
        <x:f>IF(AB188=0,"",COUNTIFS($AB$5:$AB$204,"&gt;0",$AB$5:$AB$204,"&lt;"&amp;AB188)+COUNTIFS($AB$5:AB188,AB188))</x:f>
      </x:c>
      <x:c r="AD188" s="194" t="n">
        <x:f>IF(AND(A188&lt;&gt;"",X188=""),1,0)</x:f>
        <x:v>0</x:v>
      </x:c>
      <x:c r="AE188" s="194" t="n">
        <x:f>IF(AND(Y188=1,X188&lt;&gt;""),1,0)</x:f>
        <x:v>0</x:v>
      </x:c>
      <x:c r="AF188" s="194" t="n">
        <x:f>IF(L188="",1,0)</x:f>
        <x:v>1</x:v>
      </x:c>
    </x:row>
    <x:row r="189">
      <x:c r="A189" s="28"/>
      <x:c r="B189" s="41"/>
      <x:c r="C189" s="28"/>
      <x:c r="D189" s="28"/>
      <x:c r="E189" s="28"/>
      <x:c r="F189" s="28"/>
      <x:c r="G189" s="28"/>
      <x:c r="H189" s="28"/>
      <x:c r="I189" s="28"/>
      <x:c r="J189" s="28"/>
      <x:c r="K189" s="54" t="str">
        <x:f>IF(OR(A189="",X189&lt;&gt;""),"",B189+INDEX(Listas!$B$6:$B$9,MATCH(H189,Listas!$A$6:$A$9,0))/24)</x:f>
      </x:c>
      <x:c r="L189" s="41"/>
      <x:c r="M189" s="55" t="str">
        <x:f>IF(A189="","",IF(X189&lt;&gt;"","DADO PENDENTE",IF(J189="Cancelado","N.A.",IF(L189&lt;&gt;"",IF(L189&lt;=K189,"ATENDIDO","ATRASADO"),IF(OR(J189="Fechado",J189="Resolvido"),"SEM EVIDÊNCIA",IF(Listas!$B$18&gt;K189,"ATRASADO","PENDENTE"))))))</x:f>
      </x:c>
      <x:c r="N189" s="54" t="str">
        <x:f>IF(OR(A189="",X189&lt;&gt;""),"",B189+INDEX(Listas!$C$6:$C$9,MATCH(H189,Listas!$A$6:$A$9,0))/24)</x:f>
      </x:c>
      <x:c r="O189" s="41"/>
      <x:c r="P189" s="55" t="str">
        <x:f>IF(A189="","",IF(X189&lt;&gt;"","DADO PENDENTE",IF(J189="Cancelado","N.A.",IF(OR(J189="Fechado",J189="Resolvido"),IF(O189&lt;=N189,"ATENDIDO","ATRASADO"),IF(Listas!$B$18&gt;N189,"ATRASADO","PENDENTE")))))</x:f>
      </x:c>
      <x:c r="Q189" s="56" t="str">
        <x:f>IF(OR(A189="",X189&lt;&gt;"",J189="Cancelado"),"",24*IF(OR(J189="Fechado",J189="Resolvido"),O189-B189,Listas!$B$18-B189))</x:f>
      </x:c>
      <x:c r="R189" s="57" t="str">
        <x:f>IF(OR(A189="",X189&lt;&gt;"",J189="Cancelado"),"",INT(IF(OR(J189="Fechado",J189="Resolvido"),O189-B189,Listas!$B$18-B189)))</x:f>
      </x:c>
      <x:c r="S189" s="58"/>
      <x:c r="T189" s="58"/>
      <x:c r="U189" s="57" t="str">
        <x:f>IF(OR(A189="",X189&lt;&gt;"",J189="Cancelado"),"",S189*T189)</x:f>
      </x:c>
      <x:c r="V189" s="55" t="str">
        <x:f>IF(A189="","",IF(X189&lt;&gt;"","CORRIGIR DADOS",IF(J189="Cancelado","CANCELADO",IF(OR(J189="Fechado",J189="Resolvido"),"CONCLUÍDO",IF(OR(P189="ATRASADO",U189&gt;=Listas!$B$16),"ESCALAR",IF(AND(M189="ATRASADO",L189=""),"RESPONDER AGORA",IF(R189&gt;=Listas!$B$14,"REVISAR BACKLOG","ACOMPANHAR")))))))</x:f>
      </x:c>
      <x:c r="W189" s="28"/>
      <x:c r="X189" s="194" t="str">
        <x:f>IF(COUNTA(A189:J189,L189,O189,S189:T189,W189)=0,"",IF(OR(NOT(ISNUMBER(Listas!$B$14)),Listas!$B$14&lt;0,NOT(ISNUMBER(Listas!$B$16)),Listas!$B$16&lt;1,COUNT(Listas!$B$6:$C$9)&lt;&gt;8,MIN(Listas!$B$6:$C$9)&lt;=0),"Parâmetros inválidos",IF(A189="","ID ausente",IF(COUNTIFS($A$5:$A$204,A189)&lt;&gt;1,"ID duplicado",IF(OR(NOT(ISNUMBER(B189)),B189&lt;=0),"Abertura inválida",IF(OR(NOT(ISNUMBER(Listas!$B$18)),Listas!$B$18&lt;=0),"Data da análise inválida",IF(B189&gt;Listas!$B$18,"Abertura após análise",IF(COUNTIFS(Listas!$A$6:$A$9,H189)&lt;&gt;1,"Prioridade inválida",IF(COUNTIFS(Equipe!$A$5:$A$12,I189)&lt;&gt;1,"Responsável inválido",IF(COUNTIFS(Listas!$E$6:$E$11,J189)&lt;&gt;1,"Status inválido",IF(AND(L189&lt;&gt;"",OR(NOT(ISNUMBER(L189)),L189&lt;B189,L189&gt;Listas!$B$18)),"Resposta inválida",IF(AND(O189&lt;&gt;"",OR(NOT(ISNUMBER(O189)),O189&lt;B189,O189&gt;Listas!$B$18)),"Resolução inválida",IF(AND(OR(J189="Fechado",J189="Resolvido"),O189=""),"Conclusão sem resolução",IF(OR(NOT(ISNUMBER(S189)),S189&lt;1,S189&gt;5,IF(ISNUMBER(S189),S189&lt;&gt;INT(S189),FALSE),NOT(ISNUMBER(T189)),T189&lt;1,T189&gt;5,IF(ISNUMBER(T189),T189&lt;&gt;INT(T189),FALSE)),"Impacto ou urgência inválido",""))))))))))))))</x:f>
      </x:c>
      <x:c r="Y189" s="194" t="n">
        <x:f>IF(AND(COUNTA(A189:J189,L189,O189,S189:T189,W189)&gt;0,OR(Listas!$B$20="Todos",I189=Listas!$B$20)),1,0)</x:f>
        <x:v>0</x:v>
      </x:c>
      <x:c r="Z189" s="194" t="n">
        <x:f>IF(AND(Y189=1,X189="",J189&lt;&gt;"Cancelado",NOT(OR(J189="Fechado",J189="Resolvido"))),1,0)</x:f>
        <x:v>0</x:v>
      </x:c>
      <x:c r="AA189" s="194" t="n">
        <x:f>IF(AND(Y189=1,X189="",OR(J189="Fechado",J189="Resolvido")),1,0)</x:f>
        <x:v>0</x:v>
      </x:c>
      <x:c r="AB189" s="194" t="n">
        <x:f>IF(Y189=0,0,IF(X189&lt;&gt;"",1,IF(Z189=0,0,IF(P189="ATRASADO",2,IF(AND(M189="ATRASADO",L189=""),3,IF(V189="ESCALAR",4,IF(V189="REVISAR BACKLOG",5,0)))))))</x:f>
        <x:v>0</x:v>
      </x:c>
      <x:c r="AC189" s="194" t="str">
        <x:f>IF(AB189=0,"",COUNTIFS($AB$5:$AB$204,"&gt;0",$AB$5:$AB$204,"&lt;"&amp;AB189)+COUNTIFS($AB$5:AB189,AB189))</x:f>
      </x:c>
      <x:c r="AD189" s="194" t="n">
        <x:f>IF(AND(A189&lt;&gt;"",X189=""),1,0)</x:f>
        <x:v>0</x:v>
      </x:c>
      <x:c r="AE189" s="194" t="n">
        <x:f>IF(AND(Y189=1,X189&lt;&gt;""),1,0)</x:f>
        <x:v>0</x:v>
      </x:c>
      <x:c r="AF189" s="194" t="n">
        <x:f>IF(L189="",1,0)</x:f>
        <x:v>1</x:v>
      </x:c>
    </x:row>
    <x:row r="190">
      <x:c r="A190" s="28"/>
      <x:c r="B190" s="41"/>
      <x:c r="C190" s="28"/>
      <x:c r="D190" s="28"/>
      <x:c r="E190" s="28"/>
      <x:c r="F190" s="28"/>
      <x:c r="G190" s="28"/>
      <x:c r="H190" s="28"/>
      <x:c r="I190" s="28"/>
      <x:c r="J190" s="28"/>
      <x:c r="K190" s="54" t="str">
        <x:f>IF(OR(A190="",X190&lt;&gt;""),"",B190+INDEX(Listas!$B$6:$B$9,MATCH(H190,Listas!$A$6:$A$9,0))/24)</x:f>
      </x:c>
      <x:c r="L190" s="41"/>
      <x:c r="M190" s="55" t="str">
        <x:f>IF(A190="","",IF(X190&lt;&gt;"","DADO PENDENTE",IF(J190="Cancelado","N.A.",IF(L190&lt;&gt;"",IF(L190&lt;=K190,"ATENDIDO","ATRASADO"),IF(OR(J190="Fechado",J190="Resolvido"),"SEM EVIDÊNCIA",IF(Listas!$B$18&gt;K190,"ATRASADO","PENDENTE"))))))</x:f>
      </x:c>
      <x:c r="N190" s="54" t="str">
        <x:f>IF(OR(A190="",X190&lt;&gt;""),"",B190+INDEX(Listas!$C$6:$C$9,MATCH(H190,Listas!$A$6:$A$9,0))/24)</x:f>
      </x:c>
      <x:c r="O190" s="41"/>
      <x:c r="P190" s="55" t="str">
        <x:f>IF(A190="","",IF(X190&lt;&gt;"","DADO PENDENTE",IF(J190="Cancelado","N.A.",IF(OR(J190="Fechado",J190="Resolvido"),IF(O190&lt;=N190,"ATENDIDO","ATRASADO"),IF(Listas!$B$18&gt;N190,"ATRASADO","PENDENTE")))))</x:f>
      </x:c>
      <x:c r="Q190" s="56" t="str">
        <x:f>IF(OR(A190="",X190&lt;&gt;"",J190="Cancelado"),"",24*IF(OR(J190="Fechado",J190="Resolvido"),O190-B190,Listas!$B$18-B190))</x:f>
      </x:c>
      <x:c r="R190" s="57" t="str">
        <x:f>IF(OR(A190="",X190&lt;&gt;"",J190="Cancelado"),"",INT(IF(OR(J190="Fechado",J190="Resolvido"),O190-B190,Listas!$B$18-B190)))</x:f>
      </x:c>
      <x:c r="S190" s="58"/>
      <x:c r="T190" s="58"/>
      <x:c r="U190" s="57" t="str">
        <x:f>IF(OR(A190="",X190&lt;&gt;"",J190="Cancelado"),"",S190*T190)</x:f>
      </x:c>
      <x:c r="V190" s="55" t="str">
        <x:f>IF(A190="","",IF(X190&lt;&gt;"","CORRIGIR DADOS",IF(J190="Cancelado","CANCELADO",IF(OR(J190="Fechado",J190="Resolvido"),"CONCLUÍDO",IF(OR(P190="ATRASADO",U190&gt;=Listas!$B$16),"ESCALAR",IF(AND(M190="ATRASADO",L190=""),"RESPONDER AGORA",IF(R190&gt;=Listas!$B$14,"REVISAR BACKLOG","ACOMPANHAR")))))))</x:f>
      </x:c>
      <x:c r="W190" s="28"/>
      <x:c r="X190" s="194" t="str">
        <x:f>IF(COUNTA(A190:J190,L190,O190,S190:T190,W190)=0,"",IF(OR(NOT(ISNUMBER(Listas!$B$14)),Listas!$B$14&lt;0,NOT(ISNUMBER(Listas!$B$16)),Listas!$B$16&lt;1,COUNT(Listas!$B$6:$C$9)&lt;&gt;8,MIN(Listas!$B$6:$C$9)&lt;=0),"Parâmetros inválidos",IF(A190="","ID ausente",IF(COUNTIFS($A$5:$A$204,A190)&lt;&gt;1,"ID duplicado",IF(OR(NOT(ISNUMBER(B190)),B190&lt;=0),"Abertura inválida",IF(OR(NOT(ISNUMBER(Listas!$B$18)),Listas!$B$18&lt;=0),"Data da análise inválida",IF(B190&gt;Listas!$B$18,"Abertura após análise",IF(COUNTIFS(Listas!$A$6:$A$9,H190)&lt;&gt;1,"Prioridade inválida",IF(COUNTIFS(Equipe!$A$5:$A$12,I190)&lt;&gt;1,"Responsável inválido",IF(COUNTIFS(Listas!$E$6:$E$11,J190)&lt;&gt;1,"Status inválido",IF(AND(L190&lt;&gt;"",OR(NOT(ISNUMBER(L190)),L190&lt;B190,L190&gt;Listas!$B$18)),"Resposta inválida",IF(AND(O190&lt;&gt;"",OR(NOT(ISNUMBER(O190)),O190&lt;B190,O190&gt;Listas!$B$18)),"Resolução inválida",IF(AND(OR(J190="Fechado",J190="Resolvido"),O190=""),"Conclusão sem resolução",IF(OR(NOT(ISNUMBER(S190)),S190&lt;1,S190&gt;5,IF(ISNUMBER(S190),S190&lt;&gt;INT(S190),FALSE),NOT(ISNUMBER(T190)),T190&lt;1,T190&gt;5,IF(ISNUMBER(T190),T190&lt;&gt;INT(T190),FALSE)),"Impacto ou urgência inválido",""))))))))))))))</x:f>
      </x:c>
      <x:c r="Y190" s="194" t="n">
        <x:f>IF(AND(COUNTA(A190:J190,L190,O190,S190:T190,W190)&gt;0,OR(Listas!$B$20="Todos",I190=Listas!$B$20)),1,0)</x:f>
        <x:v>0</x:v>
      </x:c>
      <x:c r="Z190" s="194" t="n">
        <x:f>IF(AND(Y190=1,X190="",J190&lt;&gt;"Cancelado",NOT(OR(J190="Fechado",J190="Resolvido"))),1,0)</x:f>
        <x:v>0</x:v>
      </x:c>
      <x:c r="AA190" s="194" t="n">
        <x:f>IF(AND(Y190=1,X190="",OR(J190="Fechado",J190="Resolvido")),1,0)</x:f>
        <x:v>0</x:v>
      </x:c>
      <x:c r="AB190" s="194" t="n">
        <x:f>IF(Y190=0,0,IF(X190&lt;&gt;"",1,IF(Z190=0,0,IF(P190="ATRASADO",2,IF(AND(M190="ATRASADO",L190=""),3,IF(V190="ESCALAR",4,IF(V190="REVISAR BACKLOG",5,0)))))))</x:f>
        <x:v>0</x:v>
      </x:c>
      <x:c r="AC190" s="194" t="str">
        <x:f>IF(AB190=0,"",COUNTIFS($AB$5:$AB$204,"&gt;0",$AB$5:$AB$204,"&lt;"&amp;AB190)+COUNTIFS($AB$5:AB190,AB190))</x:f>
      </x:c>
      <x:c r="AD190" s="194" t="n">
        <x:f>IF(AND(A190&lt;&gt;"",X190=""),1,0)</x:f>
        <x:v>0</x:v>
      </x:c>
      <x:c r="AE190" s="194" t="n">
        <x:f>IF(AND(Y190=1,X190&lt;&gt;""),1,0)</x:f>
        <x:v>0</x:v>
      </x:c>
      <x:c r="AF190" s="194" t="n">
        <x:f>IF(L190="",1,0)</x:f>
        <x:v>1</x:v>
      </x:c>
    </x:row>
    <x:row r="191">
      <x:c r="A191" s="28"/>
      <x:c r="B191" s="41"/>
      <x:c r="C191" s="28"/>
      <x:c r="D191" s="28"/>
      <x:c r="E191" s="28"/>
      <x:c r="F191" s="28"/>
      <x:c r="G191" s="28"/>
      <x:c r="H191" s="28"/>
      <x:c r="I191" s="28"/>
      <x:c r="J191" s="28"/>
      <x:c r="K191" s="54" t="str">
        <x:f>IF(OR(A191="",X191&lt;&gt;""),"",B191+INDEX(Listas!$B$6:$B$9,MATCH(H191,Listas!$A$6:$A$9,0))/24)</x:f>
      </x:c>
      <x:c r="L191" s="41"/>
      <x:c r="M191" s="55" t="str">
        <x:f>IF(A191="","",IF(X191&lt;&gt;"","DADO PENDENTE",IF(J191="Cancelado","N.A.",IF(L191&lt;&gt;"",IF(L191&lt;=K191,"ATENDIDO","ATRASADO"),IF(OR(J191="Fechado",J191="Resolvido"),"SEM EVIDÊNCIA",IF(Listas!$B$18&gt;K191,"ATRASADO","PENDENTE"))))))</x:f>
      </x:c>
      <x:c r="N191" s="54" t="str">
        <x:f>IF(OR(A191="",X191&lt;&gt;""),"",B191+INDEX(Listas!$C$6:$C$9,MATCH(H191,Listas!$A$6:$A$9,0))/24)</x:f>
      </x:c>
      <x:c r="O191" s="41"/>
      <x:c r="P191" s="55" t="str">
        <x:f>IF(A191="","",IF(X191&lt;&gt;"","DADO PENDENTE",IF(J191="Cancelado","N.A.",IF(OR(J191="Fechado",J191="Resolvido"),IF(O191&lt;=N191,"ATENDIDO","ATRASADO"),IF(Listas!$B$18&gt;N191,"ATRASADO","PENDENTE")))))</x:f>
      </x:c>
      <x:c r="Q191" s="56" t="str">
        <x:f>IF(OR(A191="",X191&lt;&gt;"",J191="Cancelado"),"",24*IF(OR(J191="Fechado",J191="Resolvido"),O191-B191,Listas!$B$18-B191))</x:f>
      </x:c>
      <x:c r="R191" s="57" t="str">
        <x:f>IF(OR(A191="",X191&lt;&gt;"",J191="Cancelado"),"",INT(IF(OR(J191="Fechado",J191="Resolvido"),O191-B191,Listas!$B$18-B191)))</x:f>
      </x:c>
      <x:c r="S191" s="58"/>
      <x:c r="T191" s="58"/>
      <x:c r="U191" s="57" t="str">
        <x:f>IF(OR(A191="",X191&lt;&gt;"",J191="Cancelado"),"",S191*T191)</x:f>
      </x:c>
      <x:c r="V191" s="55" t="str">
        <x:f>IF(A191="","",IF(X191&lt;&gt;"","CORRIGIR DADOS",IF(J191="Cancelado","CANCELADO",IF(OR(J191="Fechado",J191="Resolvido"),"CONCLUÍDO",IF(OR(P191="ATRASADO",U191&gt;=Listas!$B$16),"ESCALAR",IF(AND(M191="ATRASADO",L191=""),"RESPONDER AGORA",IF(R191&gt;=Listas!$B$14,"REVISAR BACKLOG","ACOMPANHAR")))))))</x:f>
      </x:c>
      <x:c r="W191" s="28"/>
      <x:c r="X191" s="194" t="str">
        <x:f>IF(COUNTA(A191:J191,L191,O191,S191:T191,W191)=0,"",IF(OR(NOT(ISNUMBER(Listas!$B$14)),Listas!$B$14&lt;0,NOT(ISNUMBER(Listas!$B$16)),Listas!$B$16&lt;1,COUNT(Listas!$B$6:$C$9)&lt;&gt;8,MIN(Listas!$B$6:$C$9)&lt;=0),"Parâmetros inválidos",IF(A191="","ID ausente",IF(COUNTIFS($A$5:$A$204,A191)&lt;&gt;1,"ID duplicado",IF(OR(NOT(ISNUMBER(B191)),B191&lt;=0),"Abertura inválida",IF(OR(NOT(ISNUMBER(Listas!$B$18)),Listas!$B$18&lt;=0),"Data da análise inválida",IF(B191&gt;Listas!$B$18,"Abertura após análise",IF(COUNTIFS(Listas!$A$6:$A$9,H191)&lt;&gt;1,"Prioridade inválida",IF(COUNTIFS(Equipe!$A$5:$A$12,I191)&lt;&gt;1,"Responsável inválido",IF(COUNTIFS(Listas!$E$6:$E$11,J191)&lt;&gt;1,"Status inválido",IF(AND(L191&lt;&gt;"",OR(NOT(ISNUMBER(L191)),L191&lt;B191,L191&gt;Listas!$B$18)),"Resposta inválida",IF(AND(O191&lt;&gt;"",OR(NOT(ISNUMBER(O191)),O191&lt;B191,O191&gt;Listas!$B$18)),"Resolução inválida",IF(AND(OR(J191="Fechado",J191="Resolvido"),O191=""),"Conclusão sem resolução",IF(OR(NOT(ISNUMBER(S191)),S191&lt;1,S191&gt;5,IF(ISNUMBER(S191),S191&lt;&gt;INT(S191),FALSE),NOT(ISNUMBER(T191)),T191&lt;1,T191&gt;5,IF(ISNUMBER(T191),T191&lt;&gt;INT(T191),FALSE)),"Impacto ou urgência inválido",""))))))))))))))</x:f>
      </x:c>
      <x:c r="Y191" s="194" t="n">
        <x:f>IF(AND(COUNTA(A191:J191,L191,O191,S191:T191,W191)&gt;0,OR(Listas!$B$20="Todos",I191=Listas!$B$20)),1,0)</x:f>
        <x:v>0</x:v>
      </x:c>
      <x:c r="Z191" s="194" t="n">
        <x:f>IF(AND(Y191=1,X191="",J191&lt;&gt;"Cancelado",NOT(OR(J191="Fechado",J191="Resolvido"))),1,0)</x:f>
        <x:v>0</x:v>
      </x:c>
      <x:c r="AA191" s="194" t="n">
        <x:f>IF(AND(Y191=1,X191="",OR(J191="Fechado",J191="Resolvido")),1,0)</x:f>
        <x:v>0</x:v>
      </x:c>
      <x:c r="AB191" s="194" t="n">
        <x:f>IF(Y191=0,0,IF(X191&lt;&gt;"",1,IF(Z191=0,0,IF(P191="ATRASADO",2,IF(AND(M191="ATRASADO",L191=""),3,IF(V191="ESCALAR",4,IF(V191="REVISAR BACKLOG",5,0)))))))</x:f>
        <x:v>0</x:v>
      </x:c>
      <x:c r="AC191" s="194" t="str">
        <x:f>IF(AB191=0,"",COUNTIFS($AB$5:$AB$204,"&gt;0",$AB$5:$AB$204,"&lt;"&amp;AB191)+COUNTIFS($AB$5:AB191,AB191))</x:f>
      </x:c>
      <x:c r="AD191" s="194" t="n">
        <x:f>IF(AND(A191&lt;&gt;"",X191=""),1,0)</x:f>
        <x:v>0</x:v>
      </x:c>
      <x:c r="AE191" s="194" t="n">
        <x:f>IF(AND(Y191=1,X191&lt;&gt;""),1,0)</x:f>
        <x:v>0</x:v>
      </x:c>
      <x:c r="AF191" s="194" t="n">
        <x:f>IF(L191="",1,0)</x:f>
        <x:v>1</x:v>
      </x:c>
    </x:row>
    <x:row r="192">
      <x:c r="A192" s="28"/>
      <x:c r="B192" s="41"/>
      <x:c r="C192" s="28"/>
      <x:c r="D192" s="28"/>
      <x:c r="E192" s="28"/>
      <x:c r="F192" s="28"/>
      <x:c r="G192" s="28"/>
      <x:c r="H192" s="28"/>
      <x:c r="I192" s="28"/>
      <x:c r="J192" s="28"/>
      <x:c r="K192" s="54" t="str">
        <x:f>IF(OR(A192="",X192&lt;&gt;""),"",B192+INDEX(Listas!$B$6:$B$9,MATCH(H192,Listas!$A$6:$A$9,0))/24)</x:f>
      </x:c>
      <x:c r="L192" s="41"/>
      <x:c r="M192" s="55" t="str">
        <x:f>IF(A192="","",IF(X192&lt;&gt;"","DADO PENDENTE",IF(J192="Cancelado","N.A.",IF(L192&lt;&gt;"",IF(L192&lt;=K192,"ATENDIDO","ATRASADO"),IF(OR(J192="Fechado",J192="Resolvido"),"SEM EVIDÊNCIA",IF(Listas!$B$18&gt;K192,"ATRASADO","PENDENTE"))))))</x:f>
      </x:c>
      <x:c r="N192" s="54" t="str">
        <x:f>IF(OR(A192="",X192&lt;&gt;""),"",B192+INDEX(Listas!$C$6:$C$9,MATCH(H192,Listas!$A$6:$A$9,0))/24)</x:f>
      </x:c>
      <x:c r="O192" s="41"/>
      <x:c r="P192" s="55" t="str">
        <x:f>IF(A192="","",IF(X192&lt;&gt;"","DADO PENDENTE",IF(J192="Cancelado","N.A.",IF(OR(J192="Fechado",J192="Resolvido"),IF(O192&lt;=N192,"ATENDIDO","ATRASADO"),IF(Listas!$B$18&gt;N192,"ATRASADO","PENDENTE")))))</x:f>
      </x:c>
      <x:c r="Q192" s="56" t="str">
        <x:f>IF(OR(A192="",X192&lt;&gt;"",J192="Cancelado"),"",24*IF(OR(J192="Fechado",J192="Resolvido"),O192-B192,Listas!$B$18-B192))</x:f>
      </x:c>
      <x:c r="R192" s="57" t="str">
        <x:f>IF(OR(A192="",X192&lt;&gt;"",J192="Cancelado"),"",INT(IF(OR(J192="Fechado",J192="Resolvido"),O192-B192,Listas!$B$18-B192)))</x:f>
      </x:c>
      <x:c r="S192" s="58"/>
      <x:c r="T192" s="58"/>
      <x:c r="U192" s="57" t="str">
        <x:f>IF(OR(A192="",X192&lt;&gt;"",J192="Cancelado"),"",S192*T192)</x:f>
      </x:c>
      <x:c r="V192" s="55" t="str">
        <x:f>IF(A192="","",IF(X192&lt;&gt;"","CORRIGIR DADOS",IF(J192="Cancelado","CANCELADO",IF(OR(J192="Fechado",J192="Resolvido"),"CONCLUÍDO",IF(OR(P192="ATRASADO",U192&gt;=Listas!$B$16),"ESCALAR",IF(AND(M192="ATRASADO",L192=""),"RESPONDER AGORA",IF(R192&gt;=Listas!$B$14,"REVISAR BACKLOG","ACOMPANHAR")))))))</x:f>
      </x:c>
      <x:c r="W192" s="28"/>
      <x:c r="X192" s="194" t="str">
        <x:f>IF(COUNTA(A192:J192,L192,O192,S192:T192,W192)=0,"",IF(OR(NOT(ISNUMBER(Listas!$B$14)),Listas!$B$14&lt;0,NOT(ISNUMBER(Listas!$B$16)),Listas!$B$16&lt;1,COUNT(Listas!$B$6:$C$9)&lt;&gt;8,MIN(Listas!$B$6:$C$9)&lt;=0),"Parâmetros inválidos",IF(A192="","ID ausente",IF(COUNTIFS($A$5:$A$204,A192)&lt;&gt;1,"ID duplicado",IF(OR(NOT(ISNUMBER(B192)),B192&lt;=0),"Abertura inválida",IF(OR(NOT(ISNUMBER(Listas!$B$18)),Listas!$B$18&lt;=0),"Data da análise inválida",IF(B192&gt;Listas!$B$18,"Abertura após análise",IF(COUNTIFS(Listas!$A$6:$A$9,H192)&lt;&gt;1,"Prioridade inválida",IF(COUNTIFS(Equipe!$A$5:$A$12,I192)&lt;&gt;1,"Responsável inválido",IF(COUNTIFS(Listas!$E$6:$E$11,J192)&lt;&gt;1,"Status inválido",IF(AND(L192&lt;&gt;"",OR(NOT(ISNUMBER(L192)),L192&lt;B192,L192&gt;Listas!$B$18)),"Resposta inválida",IF(AND(O192&lt;&gt;"",OR(NOT(ISNUMBER(O192)),O192&lt;B192,O192&gt;Listas!$B$18)),"Resolução inválida",IF(AND(OR(J192="Fechado",J192="Resolvido"),O192=""),"Conclusão sem resolução",IF(OR(NOT(ISNUMBER(S192)),S192&lt;1,S192&gt;5,IF(ISNUMBER(S192),S192&lt;&gt;INT(S192),FALSE),NOT(ISNUMBER(T192)),T192&lt;1,T192&gt;5,IF(ISNUMBER(T192),T192&lt;&gt;INT(T192),FALSE)),"Impacto ou urgência inválido",""))))))))))))))</x:f>
      </x:c>
      <x:c r="Y192" s="194" t="n">
        <x:f>IF(AND(COUNTA(A192:J192,L192,O192,S192:T192,W192)&gt;0,OR(Listas!$B$20="Todos",I192=Listas!$B$20)),1,0)</x:f>
        <x:v>0</x:v>
      </x:c>
      <x:c r="Z192" s="194" t="n">
        <x:f>IF(AND(Y192=1,X192="",J192&lt;&gt;"Cancelado",NOT(OR(J192="Fechado",J192="Resolvido"))),1,0)</x:f>
        <x:v>0</x:v>
      </x:c>
      <x:c r="AA192" s="194" t="n">
        <x:f>IF(AND(Y192=1,X192="",OR(J192="Fechado",J192="Resolvido")),1,0)</x:f>
        <x:v>0</x:v>
      </x:c>
      <x:c r="AB192" s="194" t="n">
        <x:f>IF(Y192=0,0,IF(X192&lt;&gt;"",1,IF(Z192=0,0,IF(P192="ATRASADO",2,IF(AND(M192="ATRASADO",L192=""),3,IF(V192="ESCALAR",4,IF(V192="REVISAR BACKLOG",5,0)))))))</x:f>
        <x:v>0</x:v>
      </x:c>
      <x:c r="AC192" s="194" t="str">
        <x:f>IF(AB192=0,"",COUNTIFS($AB$5:$AB$204,"&gt;0",$AB$5:$AB$204,"&lt;"&amp;AB192)+COUNTIFS($AB$5:AB192,AB192))</x:f>
      </x:c>
      <x:c r="AD192" s="194" t="n">
        <x:f>IF(AND(A192&lt;&gt;"",X192=""),1,0)</x:f>
        <x:v>0</x:v>
      </x:c>
      <x:c r="AE192" s="194" t="n">
        <x:f>IF(AND(Y192=1,X192&lt;&gt;""),1,0)</x:f>
        <x:v>0</x:v>
      </x:c>
      <x:c r="AF192" s="194" t="n">
        <x:f>IF(L192="",1,0)</x:f>
        <x:v>1</x:v>
      </x:c>
    </x:row>
    <x:row r="193">
      <x:c r="A193" s="28"/>
      <x:c r="B193" s="41"/>
      <x:c r="C193" s="28"/>
      <x:c r="D193" s="28"/>
      <x:c r="E193" s="28"/>
      <x:c r="F193" s="28"/>
      <x:c r="G193" s="28"/>
      <x:c r="H193" s="28"/>
      <x:c r="I193" s="28"/>
      <x:c r="J193" s="28"/>
      <x:c r="K193" s="54" t="str">
        <x:f>IF(OR(A193="",X193&lt;&gt;""),"",B193+INDEX(Listas!$B$6:$B$9,MATCH(H193,Listas!$A$6:$A$9,0))/24)</x:f>
      </x:c>
      <x:c r="L193" s="41"/>
      <x:c r="M193" s="55" t="str">
        <x:f>IF(A193="","",IF(X193&lt;&gt;"","DADO PENDENTE",IF(J193="Cancelado","N.A.",IF(L193&lt;&gt;"",IF(L193&lt;=K193,"ATENDIDO","ATRASADO"),IF(OR(J193="Fechado",J193="Resolvido"),"SEM EVIDÊNCIA",IF(Listas!$B$18&gt;K193,"ATRASADO","PENDENTE"))))))</x:f>
      </x:c>
      <x:c r="N193" s="54" t="str">
        <x:f>IF(OR(A193="",X193&lt;&gt;""),"",B193+INDEX(Listas!$C$6:$C$9,MATCH(H193,Listas!$A$6:$A$9,0))/24)</x:f>
      </x:c>
      <x:c r="O193" s="41"/>
      <x:c r="P193" s="55" t="str">
        <x:f>IF(A193="","",IF(X193&lt;&gt;"","DADO PENDENTE",IF(J193="Cancelado","N.A.",IF(OR(J193="Fechado",J193="Resolvido"),IF(O193&lt;=N193,"ATENDIDO","ATRASADO"),IF(Listas!$B$18&gt;N193,"ATRASADO","PENDENTE")))))</x:f>
      </x:c>
      <x:c r="Q193" s="56" t="str">
        <x:f>IF(OR(A193="",X193&lt;&gt;"",J193="Cancelado"),"",24*IF(OR(J193="Fechado",J193="Resolvido"),O193-B193,Listas!$B$18-B193))</x:f>
      </x:c>
      <x:c r="R193" s="57" t="str">
        <x:f>IF(OR(A193="",X193&lt;&gt;"",J193="Cancelado"),"",INT(IF(OR(J193="Fechado",J193="Resolvido"),O193-B193,Listas!$B$18-B193)))</x:f>
      </x:c>
      <x:c r="S193" s="58"/>
      <x:c r="T193" s="58"/>
      <x:c r="U193" s="57" t="str">
        <x:f>IF(OR(A193="",X193&lt;&gt;"",J193="Cancelado"),"",S193*T193)</x:f>
      </x:c>
      <x:c r="V193" s="55" t="str">
        <x:f>IF(A193="","",IF(X193&lt;&gt;"","CORRIGIR DADOS",IF(J193="Cancelado","CANCELADO",IF(OR(J193="Fechado",J193="Resolvido"),"CONCLUÍDO",IF(OR(P193="ATRASADO",U193&gt;=Listas!$B$16),"ESCALAR",IF(AND(M193="ATRASADO",L193=""),"RESPONDER AGORA",IF(R193&gt;=Listas!$B$14,"REVISAR BACKLOG","ACOMPANHAR")))))))</x:f>
      </x:c>
      <x:c r="W193" s="28"/>
      <x:c r="X193" s="194" t="str">
        <x:f>IF(COUNTA(A193:J193,L193,O193,S193:T193,W193)=0,"",IF(OR(NOT(ISNUMBER(Listas!$B$14)),Listas!$B$14&lt;0,NOT(ISNUMBER(Listas!$B$16)),Listas!$B$16&lt;1,COUNT(Listas!$B$6:$C$9)&lt;&gt;8,MIN(Listas!$B$6:$C$9)&lt;=0),"Parâmetros inválidos",IF(A193="","ID ausente",IF(COUNTIFS($A$5:$A$204,A193)&lt;&gt;1,"ID duplicado",IF(OR(NOT(ISNUMBER(B193)),B193&lt;=0),"Abertura inválida",IF(OR(NOT(ISNUMBER(Listas!$B$18)),Listas!$B$18&lt;=0),"Data da análise inválida",IF(B193&gt;Listas!$B$18,"Abertura após análise",IF(COUNTIFS(Listas!$A$6:$A$9,H193)&lt;&gt;1,"Prioridade inválida",IF(COUNTIFS(Equipe!$A$5:$A$12,I193)&lt;&gt;1,"Responsável inválido",IF(COUNTIFS(Listas!$E$6:$E$11,J193)&lt;&gt;1,"Status inválido",IF(AND(L193&lt;&gt;"",OR(NOT(ISNUMBER(L193)),L193&lt;B193,L193&gt;Listas!$B$18)),"Resposta inválida",IF(AND(O193&lt;&gt;"",OR(NOT(ISNUMBER(O193)),O193&lt;B193,O193&gt;Listas!$B$18)),"Resolução inválida",IF(AND(OR(J193="Fechado",J193="Resolvido"),O193=""),"Conclusão sem resolução",IF(OR(NOT(ISNUMBER(S193)),S193&lt;1,S193&gt;5,IF(ISNUMBER(S193),S193&lt;&gt;INT(S193),FALSE),NOT(ISNUMBER(T193)),T193&lt;1,T193&gt;5,IF(ISNUMBER(T193),T193&lt;&gt;INT(T193),FALSE)),"Impacto ou urgência inválido",""))))))))))))))</x:f>
      </x:c>
      <x:c r="Y193" s="194" t="n">
        <x:f>IF(AND(COUNTA(A193:J193,L193,O193,S193:T193,W193)&gt;0,OR(Listas!$B$20="Todos",I193=Listas!$B$20)),1,0)</x:f>
        <x:v>0</x:v>
      </x:c>
      <x:c r="Z193" s="194" t="n">
        <x:f>IF(AND(Y193=1,X193="",J193&lt;&gt;"Cancelado",NOT(OR(J193="Fechado",J193="Resolvido"))),1,0)</x:f>
        <x:v>0</x:v>
      </x:c>
      <x:c r="AA193" s="194" t="n">
        <x:f>IF(AND(Y193=1,X193="",OR(J193="Fechado",J193="Resolvido")),1,0)</x:f>
        <x:v>0</x:v>
      </x:c>
      <x:c r="AB193" s="194" t="n">
        <x:f>IF(Y193=0,0,IF(X193&lt;&gt;"",1,IF(Z193=0,0,IF(P193="ATRASADO",2,IF(AND(M193="ATRASADO",L193=""),3,IF(V193="ESCALAR",4,IF(V193="REVISAR BACKLOG",5,0)))))))</x:f>
        <x:v>0</x:v>
      </x:c>
      <x:c r="AC193" s="194" t="str">
        <x:f>IF(AB193=0,"",COUNTIFS($AB$5:$AB$204,"&gt;0",$AB$5:$AB$204,"&lt;"&amp;AB193)+COUNTIFS($AB$5:AB193,AB193))</x:f>
      </x:c>
      <x:c r="AD193" s="194" t="n">
        <x:f>IF(AND(A193&lt;&gt;"",X193=""),1,0)</x:f>
        <x:v>0</x:v>
      </x:c>
      <x:c r="AE193" s="194" t="n">
        <x:f>IF(AND(Y193=1,X193&lt;&gt;""),1,0)</x:f>
        <x:v>0</x:v>
      </x:c>
      <x:c r="AF193" s="194" t="n">
        <x:f>IF(L193="",1,0)</x:f>
        <x:v>1</x:v>
      </x:c>
    </x:row>
    <x:row r="194">
      <x:c r="A194" s="28"/>
      <x:c r="B194" s="41"/>
      <x:c r="C194" s="28"/>
      <x:c r="D194" s="28"/>
      <x:c r="E194" s="28"/>
      <x:c r="F194" s="28"/>
      <x:c r="G194" s="28"/>
      <x:c r="H194" s="28"/>
      <x:c r="I194" s="28"/>
      <x:c r="J194" s="28"/>
      <x:c r="K194" s="54" t="str">
        <x:f>IF(OR(A194="",X194&lt;&gt;""),"",B194+INDEX(Listas!$B$6:$B$9,MATCH(H194,Listas!$A$6:$A$9,0))/24)</x:f>
      </x:c>
      <x:c r="L194" s="41"/>
      <x:c r="M194" s="55" t="str">
        <x:f>IF(A194="","",IF(X194&lt;&gt;"","DADO PENDENTE",IF(J194="Cancelado","N.A.",IF(L194&lt;&gt;"",IF(L194&lt;=K194,"ATENDIDO","ATRASADO"),IF(OR(J194="Fechado",J194="Resolvido"),"SEM EVIDÊNCIA",IF(Listas!$B$18&gt;K194,"ATRASADO","PENDENTE"))))))</x:f>
      </x:c>
      <x:c r="N194" s="54" t="str">
        <x:f>IF(OR(A194="",X194&lt;&gt;""),"",B194+INDEX(Listas!$C$6:$C$9,MATCH(H194,Listas!$A$6:$A$9,0))/24)</x:f>
      </x:c>
      <x:c r="O194" s="41"/>
      <x:c r="P194" s="55" t="str">
        <x:f>IF(A194="","",IF(X194&lt;&gt;"","DADO PENDENTE",IF(J194="Cancelado","N.A.",IF(OR(J194="Fechado",J194="Resolvido"),IF(O194&lt;=N194,"ATENDIDO","ATRASADO"),IF(Listas!$B$18&gt;N194,"ATRASADO","PENDENTE")))))</x:f>
      </x:c>
      <x:c r="Q194" s="56" t="str">
        <x:f>IF(OR(A194="",X194&lt;&gt;"",J194="Cancelado"),"",24*IF(OR(J194="Fechado",J194="Resolvido"),O194-B194,Listas!$B$18-B194))</x:f>
      </x:c>
      <x:c r="R194" s="57" t="str">
        <x:f>IF(OR(A194="",X194&lt;&gt;"",J194="Cancelado"),"",INT(IF(OR(J194="Fechado",J194="Resolvido"),O194-B194,Listas!$B$18-B194)))</x:f>
      </x:c>
      <x:c r="S194" s="58"/>
      <x:c r="T194" s="58"/>
      <x:c r="U194" s="57" t="str">
        <x:f>IF(OR(A194="",X194&lt;&gt;"",J194="Cancelado"),"",S194*T194)</x:f>
      </x:c>
      <x:c r="V194" s="55" t="str">
        <x:f>IF(A194="","",IF(X194&lt;&gt;"","CORRIGIR DADOS",IF(J194="Cancelado","CANCELADO",IF(OR(J194="Fechado",J194="Resolvido"),"CONCLUÍDO",IF(OR(P194="ATRASADO",U194&gt;=Listas!$B$16),"ESCALAR",IF(AND(M194="ATRASADO",L194=""),"RESPONDER AGORA",IF(R194&gt;=Listas!$B$14,"REVISAR BACKLOG","ACOMPANHAR")))))))</x:f>
      </x:c>
      <x:c r="W194" s="28"/>
      <x:c r="X194" s="194" t="str">
        <x:f>IF(COUNTA(A194:J194,L194,O194,S194:T194,W194)=0,"",IF(OR(NOT(ISNUMBER(Listas!$B$14)),Listas!$B$14&lt;0,NOT(ISNUMBER(Listas!$B$16)),Listas!$B$16&lt;1,COUNT(Listas!$B$6:$C$9)&lt;&gt;8,MIN(Listas!$B$6:$C$9)&lt;=0),"Parâmetros inválidos",IF(A194="","ID ausente",IF(COUNTIFS($A$5:$A$204,A194)&lt;&gt;1,"ID duplicado",IF(OR(NOT(ISNUMBER(B194)),B194&lt;=0),"Abertura inválida",IF(OR(NOT(ISNUMBER(Listas!$B$18)),Listas!$B$18&lt;=0),"Data da análise inválida",IF(B194&gt;Listas!$B$18,"Abertura após análise",IF(COUNTIFS(Listas!$A$6:$A$9,H194)&lt;&gt;1,"Prioridade inválida",IF(COUNTIFS(Equipe!$A$5:$A$12,I194)&lt;&gt;1,"Responsável inválido",IF(COUNTIFS(Listas!$E$6:$E$11,J194)&lt;&gt;1,"Status inválido",IF(AND(L194&lt;&gt;"",OR(NOT(ISNUMBER(L194)),L194&lt;B194,L194&gt;Listas!$B$18)),"Resposta inválida",IF(AND(O194&lt;&gt;"",OR(NOT(ISNUMBER(O194)),O194&lt;B194,O194&gt;Listas!$B$18)),"Resolução inválida",IF(AND(OR(J194="Fechado",J194="Resolvido"),O194=""),"Conclusão sem resolução",IF(OR(NOT(ISNUMBER(S194)),S194&lt;1,S194&gt;5,IF(ISNUMBER(S194),S194&lt;&gt;INT(S194),FALSE),NOT(ISNUMBER(T194)),T194&lt;1,T194&gt;5,IF(ISNUMBER(T194),T194&lt;&gt;INT(T194),FALSE)),"Impacto ou urgência inválido",""))))))))))))))</x:f>
      </x:c>
      <x:c r="Y194" s="194" t="n">
        <x:f>IF(AND(COUNTA(A194:J194,L194,O194,S194:T194,W194)&gt;0,OR(Listas!$B$20="Todos",I194=Listas!$B$20)),1,0)</x:f>
        <x:v>0</x:v>
      </x:c>
      <x:c r="Z194" s="194" t="n">
        <x:f>IF(AND(Y194=1,X194="",J194&lt;&gt;"Cancelado",NOT(OR(J194="Fechado",J194="Resolvido"))),1,0)</x:f>
        <x:v>0</x:v>
      </x:c>
      <x:c r="AA194" s="194" t="n">
        <x:f>IF(AND(Y194=1,X194="",OR(J194="Fechado",J194="Resolvido")),1,0)</x:f>
        <x:v>0</x:v>
      </x:c>
      <x:c r="AB194" s="194" t="n">
        <x:f>IF(Y194=0,0,IF(X194&lt;&gt;"",1,IF(Z194=0,0,IF(P194="ATRASADO",2,IF(AND(M194="ATRASADO",L194=""),3,IF(V194="ESCALAR",4,IF(V194="REVISAR BACKLOG",5,0)))))))</x:f>
        <x:v>0</x:v>
      </x:c>
      <x:c r="AC194" s="194" t="str">
        <x:f>IF(AB194=0,"",COUNTIFS($AB$5:$AB$204,"&gt;0",$AB$5:$AB$204,"&lt;"&amp;AB194)+COUNTIFS($AB$5:AB194,AB194))</x:f>
      </x:c>
      <x:c r="AD194" s="194" t="n">
        <x:f>IF(AND(A194&lt;&gt;"",X194=""),1,0)</x:f>
        <x:v>0</x:v>
      </x:c>
      <x:c r="AE194" s="194" t="n">
        <x:f>IF(AND(Y194=1,X194&lt;&gt;""),1,0)</x:f>
        <x:v>0</x:v>
      </x:c>
      <x:c r="AF194" s="194" t="n">
        <x:f>IF(L194="",1,0)</x:f>
        <x:v>1</x:v>
      </x:c>
    </x:row>
    <x:row r="195">
      <x:c r="A195" s="28"/>
      <x:c r="B195" s="41"/>
      <x:c r="C195" s="28"/>
      <x:c r="D195" s="28"/>
      <x:c r="E195" s="28"/>
      <x:c r="F195" s="28"/>
      <x:c r="G195" s="28"/>
      <x:c r="H195" s="28"/>
      <x:c r="I195" s="28"/>
      <x:c r="J195" s="28"/>
      <x:c r="K195" s="54" t="str">
        <x:f>IF(OR(A195="",X195&lt;&gt;""),"",B195+INDEX(Listas!$B$6:$B$9,MATCH(H195,Listas!$A$6:$A$9,0))/24)</x:f>
      </x:c>
      <x:c r="L195" s="41"/>
      <x:c r="M195" s="55" t="str">
        <x:f>IF(A195="","",IF(X195&lt;&gt;"","DADO PENDENTE",IF(J195="Cancelado","N.A.",IF(L195&lt;&gt;"",IF(L195&lt;=K195,"ATENDIDO","ATRASADO"),IF(OR(J195="Fechado",J195="Resolvido"),"SEM EVIDÊNCIA",IF(Listas!$B$18&gt;K195,"ATRASADO","PENDENTE"))))))</x:f>
      </x:c>
      <x:c r="N195" s="54" t="str">
        <x:f>IF(OR(A195="",X195&lt;&gt;""),"",B195+INDEX(Listas!$C$6:$C$9,MATCH(H195,Listas!$A$6:$A$9,0))/24)</x:f>
      </x:c>
      <x:c r="O195" s="41"/>
      <x:c r="P195" s="55" t="str">
        <x:f>IF(A195="","",IF(X195&lt;&gt;"","DADO PENDENTE",IF(J195="Cancelado","N.A.",IF(OR(J195="Fechado",J195="Resolvido"),IF(O195&lt;=N195,"ATENDIDO","ATRASADO"),IF(Listas!$B$18&gt;N195,"ATRASADO","PENDENTE")))))</x:f>
      </x:c>
      <x:c r="Q195" s="56" t="str">
        <x:f>IF(OR(A195="",X195&lt;&gt;"",J195="Cancelado"),"",24*IF(OR(J195="Fechado",J195="Resolvido"),O195-B195,Listas!$B$18-B195))</x:f>
      </x:c>
      <x:c r="R195" s="57" t="str">
        <x:f>IF(OR(A195="",X195&lt;&gt;"",J195="Cancelado"),"",INT(IF(OR(J195="Fechado",J195="Resolvido"),O195-B195,Listas!$B$18-B195)))</x:f>
      </x:c>
      <x:c r="S195" s="58"/>
      <x:c r="T195" s="58"/>
      <x:c r="U195" s="57" t="str">
        <x:f>IF(OR(A195="",X195&lt;&gt;"",J195="Cancelado"),"",S195*T195)</x:f>
      </x:c>
      <x:c r="V195" s="55" t="str">
        <x:f>IF(A195="","",IF(X195&lt;&gt;"","CORRIGIR DADOS",IF(J195="Cancelado","CANCELADO",IF(OR(J195="Fechado",J195="Resolvido"),"CONCLUÍDO",IF(OR(P195="ATRASADO",U195&gt;=Listas!$B$16),"ESCALAR",IF(AND(M195="ATRASADO",L195=""),"RESPONDER AGORA",IF(R195&gt;=Listas!$B$14,"REVISAR BACKLOG","ACOMPANHAR")))))))</x:f>
      </x:c>
      <x:c r="W195" s="28"/>
      <x:c r="X195" s="194" t="str">
        <x:f>IF(COUNTA(A195:J195,L195,O195,S195:T195,W195)=0,"",IF(OR(NOT(ISNUMBER(Listas!$B$14)),Listas!$B$14&lt;0,NOT(ISNUMBER(Listas!$B$16)),Listas!$B$16&lt;1,COUNT(Listas!$B$6:$C$9)&lt;&gt;8,MIN(Listas!$B$6:$C$9)&lt;=0),"Parâmetros inválidos",IF(A195="","ID ausente",IF(COUNTIFS($A$5:$A$204,A195)&lt;&gt;1,"ID duplicado",IF(OR(NOT(ISNUMBER(B195)),B195&lt;=0),"Abertura inválida",IF(OR(NOT(ISNUMBER(Listas!$B$18)),Listas!$B$18&lt;=0),"Data da análise inválida",IF(B195&gt;Listas!$B$18,"Abertura após análise",IF(COUNTIFS(Listas!$A$6:$A$9,H195)&lt;&gt;1,"Prioridade inválida",IF(COUNTIFS(Equipe!$A$5:$A$12,I195)&lt;&gt;1,"Responsável inválido",IF(COUNTIFS(Listas!$E$6:$E$11,J195)&lt;&gt;1,"Status inválido",IF(AND(L195&lt;&gt;"",OR(NOT(ISNUMBER(L195)),L195&lt;B195,L195&gt;Listas!$B$18)),"Resposta inválida",IF(AND(O195&lt;&gt;"",OR(NOT(ISNUMBER(O195)),O195&lt;B195,O195&gt;Listas!$B$18)),"Resolução inválida",IF(AND(OR(J195="Fechado",J195="Resolvido"),O195=""),"Conclusão sem resolução",IF(OR(NOT(ISNUMBER(S195)),S195&lt;1,S195&gt;5,IF(ISNUMBER(S195),S195&lt;&gt;INT(S195),FALSE),NOT(ISNUMBER(T195)),T195&lt;1,T195&gt;5,IF(ISNUMBER(T195),T195&lt;&gt;INT(T195),FALSE)),"Impacto ou urgência inválido",""))))))))))))))</x:f>
      </x:c>
      <x:c r="Y195" s="194" t="n">
        <x:f>IF(AND(COUNTA(A195:J195,L195,O195,S195:T195,W195)&gt;0,OR(Listas!$B$20="Todos",I195=Listas!$B$20)),1,0)</x:f>
        <x:v>0</x:v>
      </x:c>
      <x:c r="Z195" s="194" t="n">
        <x:f>IF(AND(Y195=1,X195="",J195&lt;&gt;"Cancelado",NOT(OR(J195="Fechado",J195="Resolvido"))),1,0)</x:f>
        <x:v>0</x:v>
      </x:c>
      <x:c r="AA195" s="194" t="n">
        <x:f>IF(AND(Y195=1,X195="",OR(J195="Fechado",J195="Resolvido")),1,0)</x:f>
        <x:v>0</x:v>
      </x:c>
      <x:c r="AB195" s="194" t="n">
        <x:f>IF(Y195=0,0,IF(X195&lt;&gt;"",1,IF(Z195=0,0,IF(P195="ATRASADO",2,IF(AND(M195="ATRASADO",L195=""),3,IF(V195="ESCALAR",4,IF(V195="REVISAR BACKLOG",5,0)))))))</x:f>
        <x:v>0</x:v>
      </x:c>
      <x:c r="AC195" s="194" t="str">
        <x:f>IF(AB195=0,"",COUNTIFS($AB$5:$AB$204,"&gt;0",$AB$5:$AB$204,"&lt;"&amp;AB195)+COUNTIFS($AB$5:AB195,AB195))</x:f>
      </x:c>
      <x:c r="AD195" s="194" t="n">
        <x:f>IF(AND(A195&lt;&gt;"",X195=""),1,0)</x:f>
        <x:v>0</x:v>
      </x:c>
      <x:c r="AE195" s="194" t="n">
        <x:f>IF(AND(Y195=1,X195&lt;&gt;""),1,0)</x:f>
        <x:v>0</x:v>
      </x:c>
      <x:c r="AF195" s="194" t="n">
        <x:f>IF(L195="",1,0)</x:f>
        <x:v>1</x:v>
      </x:c>
    </x:row>
    <x:row r="196">
      <x:c r="A196" s="28"/>
      <x:c r="B196" s="41"/>
      <x:c r="C196" s="28"/>
      <x:c r="D196" s="28"/>
      <x:c r="E196" s="28"/>
      <x:c r="F196" s="28"/>
      <x:c r="G196" s="28"/>
      <x:c r="H196" s="28"/>
      <x:c r="I196" s="28"/>
      <x:c r="J196" s="28"/>
      <x:c r="K196" s="54" t="str">
        <x:f>IF(OR(A196="",X196&lt;&gt;""),"",B196+INDEX(Listas!$B$6:$B$9,MATCH(H196,Listas!$A$6:$A$9,0))/24)</x:f>
      </x:c>
      <x:c r="L196" s="41"/>
      <x:c r="M196" s="55" t="str">
        <x:f>IF(A196="","",IF(X196&lt;&gt;"","DADO PENDENTE",IF(J196="Cancelado","N.A.",IF(L196&lt;&gt;"",IF(L196&lt;=K196,"ATENDIDO","ATRASADO"),IF(OR(J196="Fechado",J196="Resolvido"),"SEM EVIDÊNCIA",IF(Listas!$B$18&gt;K196,"ATRASADO","PENDENTE"))))))</x:f>
      </x:c>
      <x:c r="N196" s="54" t="str">
        <x:f>IF(OR(A196="",X196&lt;&gt;""),"",B196+INDEX(Listas!$C$6:$C$9,MATCH(H196,Listas!$A$6:$A$9,0))/24)</x:f>
      </x:c>
      <x:c r="O196" s="41"/>
      <x:c r="P196" s="55" t="str">
        <x:f>IF(A196="","",IF(X196&lt;&gt;"","DADO PENDENTE",IF(J196="Cancelado","N.A.",IF(OR(J196="Fechado",J196="Resolvido"),IF(O196&lt;=N196,"ATENDIDO","ATRASADO"),IF(Listas!$B$18&gt;N196,"ATRASADO","PENDENTE")))))</x:f>
      </x:c>
      <x:c r="Q196" s="56" t="str">
        <x:f>IF(OR(A196="",X196&lt;&gt;"",J196="Cancelado"),"",24*IF(OR(J196="Fechado",J196="Resolvido"),O196-B196,Listas!$B$18-B196))</x:f>
      </x:c>
      <x:c r="R196" s="57" t="str">
        <x:f>IF(OR(A196="",X196&lt;&gt;"",J196="Cancelado"),"",INT(IF(OR(J196="Fechado",J196="Resolvido"),O196-B196,Listas!$B$18-B196)))</x:f>
      </x:c>
      <x:c r="S196" s="58"/>
      <x:c r="T196" s="58"/>
      <x:c r="U196" s="57" t="str">
        <x:f>IF(OR(A196="",X196&lt;&gt;"",J196="Cancelado"),"",S196*T196)</x:f>
      </x:c>
      <x:c r="V196" s="55" t="str">
        <x:f>IF(A196="","",IF(X196&lt;&gt;"","CORRIGIR DADOS",IF(J196="Cancelado","CANCELADO",IF(OR(J196="Fechado",J196="Resolvido"),"CONCLUÍDO",IF(OR(P196="ATRASADO",U196&gt;=Listas!$B$16),"ESCALAR",IF(AND(M196="ATRASADO",L196=""),"RESPONDER AGORA",IF(R196&gt;=Listas!$B$14,"REVISAR BACKLOG","ACOMPANHAR")))))))</x:f>
      </x:c>
      <x:c r="W196" s="28"/>
      <x:c r="X196" s="194" t="str">
        <x:f>IF(COUNTA(A196:J196,L196,O196,S196:T196,W196)=0,"",IF(OR(NOT(ISNUMBER(Listas!$B$14)),Listas!$B$14&lt;0,NOT(ISNUMBER(Listas!$B$16)),Listas!$B$16&lt;1,COUNT(Listas!$B$6:$C$9)&lt;&gt;8,MIN(Listas!$B$6:$C$9)&lt;=0),"Parâmetros inválidos",IF(A196="","ID ausente",IF(COUNTIFS($A$5:$A$204,A196)&lt;&gt;1,"ID duplicado",IF(OR(NOT(ISNUMBER(B196)),B196&lt;=0),"Abertura inválida",IF(OR(NOT(ISNUMBER(Listas!$B$18)),Listas!$B$18&lt;=0),"Data da análise inválida",IF(B196&gt;Listas!$B$18,"Abertura após análise",IF(COUNTIFS(Listas!$A$6:$A$9,H196)&lt;&gt;1,"Prioridade inválida",IF(COUNTIFS(Equipe!$A$5:$A$12,I196)&lt;&gt;1,"Responsável inválido",IF(COUNTIFS(Listas!$E$6:$E$11,J196)&lt;&gt;1,"Status inválido",IF(AND(L196&lt;&gt;"",OR(NOT(ISNUMBER(L196)),L196&lt;B196,L196&gt;Listas!$B$18)),"Resposta inválida",IF(AND(O196&lt;&gt;"",OR(NOT(ISNUMBER(O196)),O196&lt;B196,O196&gt;Listas!$B$18)),"Resolução inválida",IF(AND(OR(J196="Fechado",J196="Resolvido"),O196=""),"Conclusão sem resolução",IF(OR(NOT(ISNUMBER(S196)),S196&lt;1,S196&gt;5,IF(ISNUMBER(S196),S196&lt;&gt;INT(S196),FALSE),NOT(ISNUMBER(T196)),T196&lt;1,T196&gt;5,IF(ISNUMBER(T196),T196&lt;&gt;INT(T196),FALSE)),"Impacto ou urgência inválido",""))))))))))))))</x:f>
      </x:c>
      <x:c r="Y196" s="194" t="n">
        <x:f>IF(AND(COUNTA(A196:J196,L196,O196,S196:T196,W196)&gt;0,OR(Listas!$B$20="Todos",I196=Listas!$B$20)),1,0)</x:f>
        <x:v>0</x:v>
      </x:c>
      <x:c r="Z196" s="194" t="n">
        <x:f>IF(AND(Y196=1,X196="",J196&lt;&gt;"Cancelado",NOT(OR(J196="Fechado",J196="Resolvido"))),1,0)</x:f>
        <x:v>0</x:v>
      </x:c>
      <x:c r="AA196" s="194" t="n">
        <x:f>IF(AND(Y196=1,X196="",OR(J196="Fechado",J196="Resolvido")),1,0)</x:f>
        <x:v>0</x:v>
      </x:c>
      <x:c r="AB196" s="194" t="n">
        <x:f>IF(Y196=0,0,IF(X196&lt;&gt;"",1,IF(Z196=0,0,IF(P196="ATRASADO",2,IF(AND(M196="ATRASADO",L196=""),3,IF(V196="ESCALAR",4,IF(V196="REVISAR BACKLOG",5,0)))))))</x:f>
        <x:v>0</x:v>
      </x:c>
      <x:c r="AC196" s="194" t="str">
        <x:f>IF(AB196=0,"",COUNTIFS($AB$5:$AB$204,"&gt;0",$AB$5:$AB$204,"&lt;"&amp;AB196)+COUNTIFS($AB$5:AB196,AB196))</x:f>
      </x:c>
      <x:c r="AD196" s="194" t="n">
        <x:f>IF(AND(A196&lt;&gt;"",X196=""),1,0)</x:f>
        <x:v>0</x:v>
      </x:c>
      <x:c r="AE196" s="194" t="n">
        <x:f>IF(AND(Y196=1,X196&lt;&gt;""),1,0)</x:f>
        <x:v>0</x:v>
      </x:c>
      <x:c r="AF196" s="194" t="n">
        <x:f>IF(L196="",1,0)</x:f>
        <x:v>1</x:v>
      </x:c>
    </x:row>
    <x:row r="197">
      <x:c r="A197" s="28"/>
      <x:c r="B197" s="41"/>
      <x:c r="C197" s="28"/>
      <x:c r="D197" s="28"/>
      <x:c r="E197" s="28"/>
      <x:c r="F197" s="28"/>
      <x:c r="G197" s="28"/>
      <x:c r="H197" s="28"/>
      <x:c r="I197" s="28"/>
      <x:c r="J197" s="28"/>
      <x:c r="K197" s="54" t="str">
        <x:f>IF(OR(A197="",X197&lt;&gt;""),"",B197+INDEX(Listas!$B$6:$B$9,MATCH(H197,Listas!$A$6:$A$9,0))/24)</x:f>
      </x:c>
      <x:c r="L197" s="41"/>
      <x:c r="M197" s="55" t="str">
        <x:f>IF(A197="","",IF(X197&lt;&gt;"","DADO PENDENTE",IF(J197="Cancelado","N.A.",IF(L197&lt;&gt;"",IF(L197&lt;=K197,"ATENDIDO","ATRASADO"),IF(OR(J197="Fechado",J197="Resolvido"),"SEM EVIDÊNCIA",IF(Listas!$B$18&gt;K197,"ATRASADO","PENDENTE"))))))</x:f>
      </x:c>
      <x:c r="N197" s="54" t="str">
        <x:f>IF(OR(A197="",X197&lt;&gt;""),"",B197+INDEX(Listas!$C$6:$C$9,MATCH(H197,Listas!$A$6:$A$9,0))/24)</x:f>
      </x:c>
      <x:c r="O197" s="41"/>
      <x:c r="P197" s="55" t="str">
        <x:f>IF(A197="","",IF(X197&lt;&gt;"","DADO PENDENTE",IF(J197="Cancelado","N.A.",IF(OR(J197="Fechado",J197="Resolvido"),IF(O197&lt;=N197,"ATENDIDO","ATRASADO"),IF(Listas!$B$18&gt;N197,"ATRASADO","PENDENTE")))))</x:f>
      </x:c>
      <x:c r="Q197" s="56" t="str">
        <x:f>IF(OR(A197="",X197&lt;&gt;"",J197="Cancelado"),"",24*IF(OR(J197="Fechado",J197="Resolvido"),O197-B197,Listas!$B$18-B197))</x:f>
      </x:c>
      <x:c r="R197" s="57" t="str">
        <x:f>IF(OR(A197="",X197&lt;&gt;"",J197="Cancelado"),"",INT(IF(OR(J197="Fechado",J197="Resolvido"),O197-B197,Listas!$B$18-B197)))</x:f>
      </x:c>
      <x:c r="S197" s="58"/>
      <x:c r="T197" s="58"/>
      <x:c r="U197" s="57" t="str">
        <x:f>IF(OR(A197="",X197&lt;&gt;"",J197="Cancelado"),"",S197*T197)</x:f>
      </x:c>
      <x:c r="V197" s="55" t="str">
        <x:f>IF(A197="","",IF(X197&lt;&gt;"","CORRIGIR DADOS",IF(J197="Cancelado","CANCELADO",IF(OR(J197="Fechado",J197="Resolvido"),"CONCLUÍDO",IF(OR(P197="ATRASADO",U197&gt;=Listas!$B$16),"ESCALAR",IF(AND(M197="ATRASADO",L197=""),"RESPONDER AGORA",IF(R197&gt;=Listas!$B$14,"REVISAR BACKLOG","ACOMPANHAR")))))))</x:f>
      </x:c>
      <x:c r="W197" s="28"/>
      <x:c r="X197" s="194" t="str">
        <x:f>IF(COUNTA(A197:J197,L197,O197,S197:T197,W197)=0,"",IF(OR(NOT(ISNUMBER(Listas!$B$14)),Listas!$B$14&lt;0,NOT(ISNUMBER(Listas!$B$16)),Listas!$B$16&lt;1,COUNT(Listas!$B$6:$C$9)&lt;&gt;8,MIN(Listas!$B$6:$C$9)&lt;=0),"Parâmetros inválidos",IF(A197="","ID ausente",IF(COUNTIFS($A$5:$A$204,A197)&lt;&gt;1,"ID duplicado",IF(OR(NOT(ISNUMBER(B197)),B197&lt;=0),"Abertura inválida",IF(OR(NOT(ISNUMBER(Listas!$B$18)),Listas!$B$18&lt;=0),"Data da análise inválida",IF(B197&gt;Listas!$B$18,"Abertura após análise",IF(COUNTIFS(Listas!$A$6:$A$9,H197)&lt;&gt;1,"Prioridade inválida",IF(COUNTIFS(Equipe!$A$5:$A$12,I197)&lt;&gt;1,"Responsável inválido",IF(COUNTIFS(Listas!$E$6:$E$11,J197)&lt;&gt;1,"Status inválido",IF(AND(L197&lt;&gt;"",OR(NOT(ISNUMBER(L197)),L197&lt;B197,L197&gt;Listas!$B$18)),"Resposta inválida",IF(AND(O197&lt;&gt;"",OR(NOT(ISNUMBER(O197)),O197&lt;B197,O197&gt;Listas!$B$18)),"Resolução inválida",IF(AND(OR(J197="Fechado",J197="Resolvido"),O197=""),"Conclusão sem resolução",IF(OR(NOT(ISNUMBER(S197)),S197&lt;1,S197&gt;5,IF(ISNUMBER(S197),S197&lt;&gt;INT(S197),FALSE),NOT(ISNUMBER(T197)),T197&lt;1,T197&gt;5,IF(ISNUMBER(T197),T197&lt;&gt;INT(T197),FALSE)),"Impacto ou urgência inválido",""))))))))))))))</x:f>
      </x:c>
      <x:c r="Y197" s="194" t="n">
        <x:f>IF(AND(COUNTA(A197:J197,L197,O197,S197:T197,W197)&gt;0,OR(Listas!$B$20="Todos",I197=Listas!$B$20)),1,0)</x:f>
        <x:v>0</x:v>
      </x:c>
      <x:c r="Z197" s="194" t="n">
        <x:f>IF(AND(Y197=1,X197="",J197&lt;&gt;"Cancelado",NOT(OR(J197="Fechado",J197="Resolvido"))),1,0)</x:f>
        <x:v>0</x:v>
      </x:c>
      <x:c r="AA197" s="194" t="n">
        <x:f>IF(AND(Y197=1,X197="",OR(J197="Fechado",J197="Resolvido")),1,0)</x:f>
        <x:v>0</x:v>
      </x:c>
      <x:c r="AB197" s="194" t="n">
        <x:f>IF(Y197=0,0,IF(X197&lt;&gt;"",1,IF(Z197=0,0,IF(P197="ATRASADO",2,IF(AND(M197="ATRASADO",L197=""),3,IF(V197="ESCALAR",4,IF(V197="REVISAR BACKLOG",5,0)))))))</x:f>
        <x:v>0</x:v>
      </x:c>
      <x:c r="AC197" s="194" t="str">
        <x:f>IF(AB197=0,"",COUNTIFS($AB$5:$AB$204,"&gt;0",$AB$5:$AB$204,"&lt;"&amp;AB197)+COUNTIFS($AB$5:AB197,AB197))</x:f>
      </x:c>
      <x:c r="AD197" s="194" t="n">
        <x:f>IF(AND(A197&lt;&gt;"",X197=""),1,0)</x:f>
        <x:v>0</x:v>
      </x:c>
      <x:c r="AE197" s="194" t="n">
        <x:f>IF(AND(Y197=1,X197&lt;&gt;""),1,0)</x:f>
        <x:v>0</x:v>
      </x:c>
      <x:c r="AF197" s="194" t="n">
        <x:f>IF(L197="",1,0)</x:f>
        <x:v>1</x:v>
      </x:c>
    </x:row>
    <x:row r="198">
      <x:c r="A198" s="28"/>
      <x:c r="B198" s="41"/>
      <x:c r="C198" s="28"/>
      <x:c r="D198" s="28"/>
      <x:c r="E198" s="28"/>
      <x:c r="F198" s="28"/>
      <x:c r="G198" s="28"/>
      <x:c r="H198" s="28"/>
      <x:c r="I198" s="28"/>
      <x:c r="J198" s="28"/>
      <x:c r="K198" s="54" t="str">
        <x:f>IF(OR(A198="",X198&lt;&gt;""),"",B198+INDEX(Listas!$B$6:$B$9,MATCH(H198,Listas!$A$6:$A$9,0))/24)</x:f>
      </x:c>
      <x:c r="L198" s="41"/>
      <x:c r="M198" s="55" t="str">
        <x:f>IF(A198="","",IF(X198&lt;&gt;"","DADO PENDENTE",IF(J198="Cancelado","N.A.",IF(L198&lt;&gt;"",IF(L198&lt;=K198,"ATENDIDO","ATRASADO"),IF(OR(J198="Fechado",J198="Resolvido"),"SEM EVIDÊNCIA",IF(Listas!$B$18&gt;K198,"ATRASADO","PENDENTE"))))))</x:f>
      </x:c>
      <x:c r="N198" s="54" t="str">
        <x:f>IF(OR(A198="",X198&lt;&gt;""),"",B198+INDEX(Listas!$C$6:$C$9,MATCH(H198,Listas!$A$6:$A$9,0))/24)</x:f>
      </x:c>
      <x:c r="O198" s="41"/>
      <x:c r="P198" s="55" t="str">
        <x:f>IF(A198="","",IF(X198&lt;&gt;"","DADO PENDENTE",IF(J198="Cancelado","N.A.",IF(OR(J198="Fechado",J198="Resolvido"),IF(O198&lt;=N198,"ATENDIDO","ATRASADO"),IF(Listas!$B$18&gt;N198,"ATRASADO","PENDENTE")))))</x:f>
      </x:c>
      <x:c r="Q198" s="56" t="str">
        <x:f>IF(OR(A198="",X198&lt;&gt;"",J198="Cancelado"),"",24*IF(OR(J198="Fechado",J198="Resolvido"),O198-B198,Listas!$B$18-B198))</x:f>
      </x:c>
      <x:c r="R198" s="57" t="str">
        <x:f>IF(OR(A198="",X198&lt;&gt;"",J198="Cancelado"),"",INT(IF(OR(J198="Fechado",J198="Resolvido"),O198-B198,Listas!$B$18-B198)))</x:f>
      </x:c>
      <x:c r="S198" s="58"/>
      <x:c r="T198" s="58"/>
      <x:c r="U198" s="57" t="str">
        <x:f>IF(OR(A198="",X198&lt;&gt;"",J198="Cancelado"),"",S198*T198)</x:f>
      </x:c>
      <x:c r="V198" s="55" t="str">
        <x:f>IF(A198="","",IF(X198&lt;&gt;"","CORRIGIR DADOS",IF(J198="Cancelado","CANCELADO",IF(OR(J198="Fechado",J198="Resolvido"),"CONCLUÍDO",IF(OR(P198="ATRASADO",U198&gt;=Listas!$B$16),"ESCALAR",IF(AND(M198="ATRASADO",L198=""),"RESPONDER AGORA",IF(R198&gt;=Listas!$B$14,"REVISAR BACKLOG","ACOMPANHAR")))))))</x:f>
      </x:c>
      <x:c r="W198" s="28"/>
      <x:c r="X198" s="194" t="str">
        <x:f>IF(COUNTA(A198:J198,L198,O198,S198:T198,W198)=0,"",IF(OR(NOT(ISNUMBER(Listas!$B$14)),Listas!$B$14&lt;0,NOT(ISNUMBER(Listas!$B$16)),Listas!$B$16&lt;1,COUNT(Listas!$B$6:$C$9)&lt;&gt;8,MIN(Listas!$B$6:$C$9)&lt;=0),"Parâmetros inválidos",IF(A198="","ID ausente",IF(COUNTIFS($A$5:$A$204,A198)&lt;&gt;1,"ID duplicado",IF(OR(NOT(ISNUMBER(B198)),B198&lt;=0),"Abertura inválida",IF(OR(NOT(ISNUMBER(Listas!$B$18)),Listas!$B$18&lt;=0),"Data da análise inválida",IF(B198&gt;Listas!$B$18,"Abertura após análise",IF(COUNTIFS(Listas!$A$6:$A$9,H198)&lt;&gt;1,"Prioridade inválida",IF(COUNTIFS(Equipe!$A$5:$A$12,I198)&lt;&gt;1,"Responsável inválido",IF(COUNTIFS(Listas!$E$6:$E$11,J198)&lt;&gt;1,"Status inválido",IF(AND(L198&lt;&gt;"",OR(NOT(ISNUMBER(L198)),L198&lt;B198,L198&gt;Listas!$B$18)),"Resposta inválida",IF(AND(O198&lt;&gt;"",OR(NOT(ISNUMBER(O198)),O198&lt;B198,O198&gt;Listas!$B$18)),"Resolução inválida",IF(AND(OR(J198="Fechado",J198="Resolvido"),O198=""),"Conclusão sem resolução",IF(OR(NOT(ISNUMBER(S198)),S198&lt;1,S198&gt;5,IF(ISNUMBER(S198),S198&lt;&gt;INT(S198),FALSE),NOT(ISNUMBER(T198)),T198&lt;1,T198&gt;5,IF(ISNUMBER(T198),T198&lt;&gt;INT(T198),FALSE)),"Impacto ou urgência inválido",""))))))))))))))</x:f>
      </x:c>
      <x:c r="Y198" s="194" t="n">
        <x:f>IF(AND(COUNTA(A198:J198,L198,O198,S198:T198,W198)&gt;0,OR(Listas!$B$20="Todos",I198=Listas!$B$20)),1,0)</x:f>
        <x:v>0</x:v>
      </x:c>
      <x:c r="Z198" s="194" t="n">
        <x:f>IF(AND(Y198=1,X198="",J198&lt;&gt;"Cancelado",NOT(OR(J198="Fechado",J198="Resolvido"))),1,0)</x:f>
        <x:v>0</x:v>
      </x:c>
      <x:c r="AA198" s="194" t="n">
        <x:f>IF(AND(Y198=1,X198="",OR(J198="Fechado",J198="Resolvido")),1,0)</x:f>
        <x:v>0</x:v>
      </x:c>
      <x:c r="AB198" s="194" t="n">
        <x:f>IF(Y198=0,0,IF(X198&lt;&gt;"",1,IF(Z198=0,0,IF(P198="ATRASADO",2,IF(AND(M198="ATRASADO",L198=""),3,IF(V198="ESCALAR",4,IF(V198="REVISAR BACKLOG",5,0)))))))</x:f>
        <x:v>0</x:v>
      </x:c>
      <x:c r="AC198" s="194" t="str">
        <x:f>IF(AB198=0,"",COUNTIFS($AB$5:$AB$204,"&gt;0",$AB$5:$AB$204,"&lt;"&amp;AB198)+COUNTIFS($AB$5:AB198,AB198))</x:f>
      </x:c>
      <x:c r="AD198" s="194" t="n">
        <x:f>IF(AND(A198&lt;&gt;"",X198=""),1,0)</x:f>
        <x:v>0</x:v>
      </x:c>
      <x:c r="AE198" s="194" t="n">
        <x:f>IF(AND(Y198=1,X198&lt;&gt;""),1,0)</x:f>
        <x:v>0</x:v>
      </x:c>
      <x:c r="AF198" s="194" t="n">
        <x:f>IF(L198="",1,0)</x:f>
        <x:v>1</x:v>
      </x:c>
    </x:row>
    <x:row r="199">
      <x:c r="A199" s="28"/>
      <x:c r="B199" s="41"/>
      <x:c r="C199" s="28"/>
      <x:c r="D199" s="28"/>
      <x:c r="E199" s="28"/>
      <x:c r="F199" s="28"/>
      <x:c r="G199" s="28"/>
      <x:c r="H199" s="28"/>
      <x:c r="I199" s="28"/>
      <x:c r="J199" s="28"/>
      <x:c r="K199" s="54" t="str">
        <x:f>IF(OR(A199="",X199&lt;&gt;""),"",B199+INDEX(Listas!$B$6:$B$9,MATCH(H199,Listas!$A$6:$A$9,0))/24)</x:f>
      </x:c>
      <x:c r="L199" s="41"/>
      <x:c r="M199" s="55" t="str">
        <x:f>IF(A199="","",IF(X199&lt;&gt;"","DADO PENDENTE",IF(J199="Cancelado","N.A.",IF(L199&lt;&gt;"",IF(L199&lt;=K199,"ATENDIDO","ATRASADO"),IF(OR(J199="Fechado",J199="Resolvido"),"SEM EVIDÊNCIA",IF(Listas!$B$18&gt;K199,"ATRASADO","PENDENTE"))))))</x:f>
      </x:c>
      <x:c r="N199" s="54" t="str">
        <x:f>IF(OR(A199="",X199&lt;&gt;""),"",B199+INDEX(Listas!$C$6:$C$9,MATCH(H199,Listas!$A$6:$A$9,0))/24)</x:f>
      </x:c>
      <x:c r="O199" s="41"/>
      <x:c r="P199" s="55" t="str">
        <x:f>IF(A199="","",IF(X199&lt;&gt;"","DADO PENDENTE",IF(J199="Cancelado","N.A.",IF(OR(J199="Fechado",J199="Resolvido"),IF(O199&lt;=N199,"ATENDIDO","ATRASADO"),IF(Listas!$B$18&gt;N199,"ATRASADO","PENDENTE")))))</x:f>
      </x:c>
      <x:c r="Q199" s="56" t="str">
        <x:f>IF(OR(A199="",X199&lt;&gt;"",J199="Cancelado"),"",24*IF(OR(J199="Fechado",J199="Resolvido"),O199-B199,Listas!$B$18-B199))</x:f>
      </x:c>
      <x:c r="R199" s="57" t="str">
        <x:f>IF(OR(A199="",X199&lt;&gt;"",J199="Cancelado"),"",INT(IF(OR(J199="Fechado",J199="Resolvido"),O199-B199,Listas!$B$18-B199)))</x:f>
      </x:c>
      <x:c r="S199" s="58"/>
      <x:c r="T199" s="58"/>
      <x:c r="U199" s="57" t="str">
        <x:f>IF(OR(A199="",X199&lt;&gt;"",J199="Cancelado"),"",S199*T199)</x:f>
      </x:c>
      <x:c r="V199" s="55" t="str">
        <x:f>IF(A199="","",IF(X199&lt;&gt;"","CORRIGIR DADOS",IF(J199="Cancelado","CANCELADO",IF(OR(J199="Fechado",J199="Resolvido"),"CONCLUÍDO",IF(OR(P199="ATRASADO",U199&gt;=Listas!$B$16),"ESCALAR",IF(AND(M199="ATRASADO",L199=""),"RESPONDER AGORA",IF(R199&gt;=Listas!$B$14,"REVISAR BACKLOG","ACOMPANHAR")))))))</x:f>
      </x:c>
      <x:c r="W199" s="28"/>
      <x:c r="X199" s="194" t="str">
        <x:f>IF(COUNTA(A199:J199,L199,O199,S199:T199,W199)=0,"",IF(OR(NOT(ISNUMBER(Listas!$B$14)),Listas!$B$14&lt;0,NOT(ISNUMBER(Listas!$B$16)),Listas!$B$16&lt;1,COUNT(Listas!$B$6:$C$9)&lt;&gt;8,MIN(Listas!$B$6:$C$9)&lt;=0),"Parâmetros inválidos",IF(A199="","ID ausente",IF(COUNTIFS($A$5:$A$204,A199)&lt;&gt;1,"ID duplicado",IF(OR(NOT(ISNUMBER(B199)),B199&lt;=0),"Abertura inválida",IF(OR(NOT(ISNUMBER(Listas!$B$18)),Listas!$B$18&lt;=0),"Data da análise inválida",IF(B199&gt;Listas!$B$18,"Abertura após análise",IF(COUNTIFS(Listas!$A$6:$A$9,H199)&lt;&gt;1,"Prioridade inválida",IF(COUNTIFS(Equipe!$A$5:$A$12,I199)&lt;&gt;1,"Responsável inválido",IF(COUNTIFS(Listas!$E$6:$E$11,J199)&lt;&gt;1,"Status inválido",IF(AND(L199&lt;&gt;"",OR(NOT(ISNUMBER(L199)),L199&lt;B199,L199&gt;Listas!$B$18)),"Resposta inválida",IF(AND(O199&lt;&gt;"",OR(NOT(ISNUMBER(O199)),O199&lt;B199,O199&gt;Listas!$B$18)),"Resolução inválida",IF(AND(OR(J199="Fechado",J199="Resolvido"),O199=""),"Conclusão sem resolução",IF(OR(NOT(ISNUMBER(S199)),S199&lt;1,S199&gt;5,IF(ISNUMBER(S199),S199&lt;&gt;INT(S199),FALSE),NOT(ISNUMBER(T199)),T199&lt;1,T199&gt;5,IF(ISNUMBER(T199),T199&lt;&gt;INT(T199),FALSE)),"Impacto ou urgência inválido",""))))))))))))))</x:f>
      </x:c>
      <x:c r="Y199" s="194" t="n">
        <x:f>IF(AND(COUNTA(A199:J199,L199,O199,S199:T199,W199)&gt;0,OR(Listas!$B$20="Todos",I199=Listas!$B$20)),1,0)</x:f>
        <x:v>0</x:v>
      </x:c>
      <x:c r="Z199" s="194" t="n">
        <x:f>IF(AND(Y199=1,X199="",J199&lt;&gt;"Cancelado",NOT(OR(J199="Fechado",J199="Resolvido"))),1,0)</x:f>
        <x:v>0</x:v>
      </x:c>
      <x:c r="AA199" s="194" t="n">
        <x:f>IF(AND(Y199=1,X199="",OR(J199="Fechado",J199="Resolvido")),1,0)</x:f>
        <x:v>0</x:v>
      </x:c>
      <x:c r="AB199" s="194" t="n">
        <x:f>IF(Y199=0,0,IF(X199&lt;&gt;"",1,IF(Z199=0,0,IF(P199="ATRASADO",2,IF(AND(M199="ATRASADO",L199=""),3,IF(V199="ESCALAR",4,IF(V199="REVISAR BACKLOG",5,0)))))))</x:f>
        <x:v>0</x:v>
      </x:c>
      <x:c r="AC199" s="194" t="str">
        <x:f>IF(AB199=0,"",COUNTIFS($AB$5:$AB$204,"&gt;0",$AB$5:$AB$204,"&lt;"&amp;AB199)+COUNTIFS($AB$5:AB199,AB199))</x:f>
      </x:c>
      <x:c r="AD199" s="194" t="n">
        <x:f>IF(AND(A199&lt;&gt;"",X199=""),1,0)</x:f>
        <x:v>0</x:v>
      </x:c>
      <x:c r="AE199" s="194" t="n">
        <x:f>IF(AND(Y199=1,X199&lt;&gt;""),1,0)</x:f>
        <x:v>0</x:v>
      </x:c>
      <x:c r="AF199" s="194" t="n">
        <x:f>IF(L199="",1,0)</x:f>
        <x:v>1</x:v>
      </x:c>
    </x:row>
    <x:row r="200">
      <x:c r="A200" s="28"/>
      <x:c r="B200" s="41"/>
      <x:c r="C200" s="28"/>
      <x:c r="D200" s="28"/>
      <x:c r="E200" s="28"/>
      <x:c r="F200" s="28"/>
      <x:c r="G200" s="28"/>
      <x:c r="H200" s="28"/>
      <x:c r="I200" s="28"/>
      <x:c r="J200" s="28"/>
      <x:c r="K200" s="54" t="str">
        <x:f>IF(OR(A200="",X200&lt;&gt;""),"",B200+INDEX(Listas!$B$6:$B$9,MATCH(H200,Listas!$A$6:$A$9,0))/24)</x:f>
      </x:c>
      <x:c r="L200" s="41"/>
      <x:c r="M200" s="55" t="str">
        <x:f>IF(A200="","",IF(X200&lt;&gt;"","DADO PENDENTE",IF(J200="Cancelado","N.A.",IF(L200&lt;&gt;"",IF(L200&lt;=K200,"ATENDIDO","ATRASADO"),IF(OR(J200="Fechado",J200="Resolvido"),"SEM EVIDÊNCIA",IF(Listas!$B$18&gt;K200,"ATRASADO","PENDENTE"))))))</x:f>
      </x:c>
      <x:c r="N200" s="54" t="str">
        <x:f>IF(OR(A200="",X200&lt;&gt;""),"",B200+INDEX(Listas!$C$6:$C$9,MATCH(H200,Listas!$A$6:$A$9,0))/24)</x:f>
      </x:c>
      <x:c r="O200" s="41"/>
      <x:c r="P200" s="55" t="str">
        <x:f>IF(A200="","",IF(X200&lt;&gt;"","DADO PENDENTE",IF(J200="Cancelado","N.A.",IF(OR(J200="Fechado",J200="Resolvido"),IF(O200&lt;=N200,"ATENDIDO","ATRASADO"),IF(Listas!$B$18&gt;N200,"ATRASADO","PENDENTE")))))</x:f>
      </x:c>
      <x:c r="Q200" s="56" t="str">
        <x:f>IF(OR(A200="",X200&lt;&gt;"",J200="Cancelado"),"",24*IF(OR(J200="Fechado",J200="Resolvido"),O200-B200,Listas!$B$18-B200))</x:f>
      </x:c>
      <x:c r="R200" s="57" t="str">
        <x:f>IF(OR(A200="",X200&lt;&gt;"",J200="Cancelado"),"",INT(IF(OR(J200="Fechado",J200="Resolvido"),O200-B200,Listas!$B$18-B200)))</x:f>
      </x:c>
      <x:c r="S200" s="58"/>
      <x:c r="T200" s="58"/>
      <x:c r="U200" s="57" t="str">
        <x:f>IF(OR(A200="",X200&lt;&gt;"",J200="Cancelado"),"",S200*T200)</x:f>
      </x:c>
      <x:c r="V200" s="55" t="str">
        <x:f>IF(A200="","",IF(X200&lt;&gt;"","CORRIGIR DADOS",IF(J200="Cancelado","CANCELADO",IF(OR(J200="Fechado",J200="Resolvido"),"CONCLUÍDO",IF(OR(P200="ATRASADO",U200&gt;=Listas!$B$16),"ESCALAR",IF(AND(M200="ATRASADO",L200=""),"RESPONDER AGORA",IF(R200&gt;=Listas!$B$14,"REVISAR BACKLOG","ACOMPANHAR")))))))</x:f>
      </x:c>
      <x:c r="W200" s="28"/>
      <x:c r="X200" s="194" t="str">
        <x:f>IF(COUNTA(A200:J200,L200,O200,S200:T200,W200)=0,"",IF(OR(NOT(ISNUMBER(Listas!$B$14)),Listas!$B$14&lt;0,NOT(ISNUMBER(Listas!$B$16)),Listas!$B$16&lt;1,COUNT(Listas!$B$6:$C$9)&lt;&gt;8,MIN(Listas!$B$6:$C$9)&lt;=0),"Parâmetros inválidos",IF(A200="","ID ausente",IF(COUNTIFS($A$5:$A$204,A200)&lt;&gt;1,"ID duplicado",IF(OR(NOT(ISNUMBER(B200)),B200&lt;=0),"Abertura inválida",IF(OR(NOT(ISNUMBER(Listas!$B$18)),Listas!$B$18&lt;=0),"Data da análise inválida",IF(B200&gt;Listas!$B$18,"Abertura após análise",IF(COUNTIFS(Listas!$A$6:$A$9,H200)&lt;&gt;1,"Prioridade inválida",IF(COUNTIFS(Equipe!$A$5:$A$12,I200)&lt;&gt;1,"Responsável inválido",IF(COUNTIFS(Listas!$E$6:$E$11,J200)&lt;&gt;1,"Status inválido",IF(AND(L200&lt;&gt;"",OR(NOT(ISNUMBER(L200)),L200&lt;B200,L200&gt;Listas!$B$18)),"Resposta inválida",IF(AND(O200&lt;&gt;"",OR(NOT(ISNUMBER(O200)),O200&lt;B200,O200&gt;Listas!$B$18)),"Resolução inválida",IF(AND(OR(J200="Fechado",J200="Resolvido"),O200=""),"Conclusão sem resolução",IF(OR(NOT(ISNUMBER(S200)),S200&lt;1,S200&gt;5,IF(ISNUMBER(S200),S200&lt;&gt;INT(S200),FALSE),NOT(ISNUMBER(T200)),T200&lt;1,T200&gt;5,IF(ISNUMBER(T200),T200&lt;&gt;INT(T200),FALSE)),"Impacto ou urgência inválido",""))))))))))))))</x:f>
      </x:c>
      <x:c r="Y200" s="194" t="n">
        <x:f>IF(AND(COUNTA(A200:J200,L200,O200,S200:T200,W200)&gt;0,OR(Listas!$B$20="Todos",I200=Listas!$B$20)),1,0)</x:f>
        <x:v>0</x:v>
      </x:c>
      <x:c r="Z200" s="194" t="n">
        <x:f>IF(AND(Y200=1,X200="",J200&lt;&gt;"Cancelado",NOT(OR(J200="Fechado",J200="Resolvido"))),1,0)</x:f>
        <x:v>0</x:v>
      </x:c>
      <x:c r="AA200" s="194" t="n">
        <x:f>IF(AND(Y200=1,X200="",OR(J200="Fechado",J200="Resolvido")),1,0)</x:f>
        <x:v>0</x:v>
      </x:c>
      <x:c r="AB200" s="194" t="n">
        <x:f>IF(Y200=0,0,IF(X200&lt;&gt;"",1,IF(Z200=0,0,IF(P200="ATRASADO",2,IF(AND(M200="ATRASADO",L200=""),3,IF(V200="ESCALAR",4,IF(V200="REVISAR BACKLOG",5,0)))))))</x:f>
        <x:v>0</x:v>
      </x:c>
      <x:c r="AC200" s="194" t="str">
        <x:f>IF(AB200=0,"",COUNTIFS($AB$5:$AB$204,"&gt;0",$AB$5:$AB$204,"&lt;"&amp;AB200)+COUNTIFS($AB$5:AB200,AB200))</x:f>
      </x:c>
      <x:c r="AD200" s="194" t="n">
        <x:f>IF(AND(A200&lt;&gt;"",X200=""),1,0)</x:f>
        <x:v>0</x:v>
      </x:c>
      <x:c r="AE200" s="194" t="n">
        <x:f>IF(AND(Y200=1,X200&lt;&gt;""),1,0)</x:f>
        <x:v>0</x:v>
      </x:c>
      <x:c r="AF200" s="194" t="n">
        <x:f>IF(L200="",1,0)</x:f>
        <x:v>1</x:v>
      </x:c>
    </x:row>
    <x:row r="201">
      <x:c r="A201" s="28"/>
      <x:c r="B201" s="41"/>
      <x:c r="C201" s="28"/>
      <x:c r="D201" s="28"/>
      <x:c r="E201" s="28"/>
      <x:c r="F201" s="28"/>
      <x:c r="G201" s="28"/>
      <x:c r="H201" s="28"/>
      <x:c r="I201" s="28"/>
      <x:c r="J201" s="28"/>
      <x:c r="K201" s="54" t="str">
        <x:f>IF(OR(A201="",X201&lt;&gt;""),"",B201+INDEX(Listas!$B$6:$B$9,MATCH(H201,Listas!$A$6:$A$9,0))/24)</x:f>
      </x:c>
      <x:c r="L201" s="41"/>
      <x:c r="M201" s="55" t="str">
        <x:f>IF(A201="","",IF(X201&lt;&gt;"","DADO PENDENTE",IF(J201="Cancelado","N.A.",IF(L201&lt;&gt;"",IF(L201&lt;=K201,"ATENDIDO","ATRASADO"),IF(OR(J201="Fechado",J201="Resolvido"),"SEM EVIDÊNCIA",IF(Listas!$B$18&gt;K201,"ATRASADO","PENDENTE"))))))</x:f>
      </x:c>
      <x:c r="N201" s="54" t="str">
        <x:f>IF(OR(A201="",X201&lt;&gt;""),"",B201+INDEX(Listas!$C$6:$C$9,MATCH(H201,Listas!$A$6:$A$9,0))/24)</x:f>
      </x:c>
      <x:c r="O201" s="41"/>
      <x:c r="P201" s="55" t="str">
        <x:f>IF(A201="","",IF(X201&lt;&gt;"","DADO PENDENTE",IF(J201="Cancelado","N.A.",IF(OR(J201="Fechado",J201="Resolvido"),IF(O201&lt;=N201,"ATENDIDO","ATRASADO"),IF(Listas!$B$18&gt;N201,"ATRASADO","PENDENTE")))))</x:f>
      </x:c>
      <x:c r="Q201" s="56" t="str">
        <x:f>IF(OR(A201="",X201&lt;&gt;"",J201="Cancelado"),"",24*IF(OR(J201="Fechado",J201="Resolvido"),O201-B201,Listas!$B$18-B201))</x:f>
      </x:c>
      <x:c r="R201" s="57" t="str">
        <x:f>IF(OR(A201="",X201&lt;&gt;"",J201="Cancelado"),"",INT(IF(OR(J201="Fechado",J201="Resolvido"),O201-B201,Listas!$B$18-B201)))</x:f>
      </x:c>
      <x:c r="S201" s="58"/>
      <x:c r="T201" s="58"/>
      <x:c r="U201" s="57" t="str">
        <x:f>IF(OR(A201="",X201&lt;&gt;"",J201="Cancelado"),"",S201*T201)</x:f>
      </x:c>
      <x:c r="V201" s="55" t="str">
        <x:f>IF(A201="","",IF(X201&lt;&gt;"","CORRIGIR DADOS",IF(J201="Cancelado","CANCELADO",IF(OR(J201="Fechado",J201="Resolvido"),"CONCLUÍDO",IF(OR(P201="ATRASADO",U201&gt;=Listas!$B$16),"ESCALAR",IF(AND(M201="ATRASADO",L201=""),"RESPONDER AGORA",IF(R201&gt;=Listas!$B$14,"REVISAR BACKLOG","ACOMPANHAR")))))))</x:f>
      </x:c>
      <x:c r="W201" s="28"/>
      <x:c r="X201" s="194" t="str">
        <x:f>IF(COUNTA(A201:J201,L201,O201,S201:T201,W201)=0,"",IF(OR(NOT(ISNUMBER(Listas!$B$14)),Listas!$B$14&lt;0,NOT(ISNUMBER(Listas!$B$16)),Listas!$B$16&lt;1,COUNT(Listas!$B$6:$C$9)&lt;&gt;8,MIN(Listas!$B$6:$C$9)&lt;=0),"Parâmetros inválidos",IF(A201="","ID ausente",IF(COUNTIFS($A$5:$A$204,A201)&lt;&gt;1,"ID duplicado",IF(OR(NOT(ISNUMBER(B201)),B201&lt;=0),"Abertura inválida",IF(OR(NOT(ISNUMBER(Listas!$B$18)),Listas!$B$18&lt;=0),"Data da análise inválida",IF(B201&gt;Listas!$B$18,"Abertura após análise",IF(COUNTIFS(Listas!$A$6:$A$9,H201)&lt;&gt;1,"Prioridade inválida",IF(COUNTIFS(Equipe!$A$5:$A$12,I201)&lt;&gt;1,"Responsável inválido",IF(COUNTIFS(Listas!$E$6:$E$11,J201)&lt;&gt;1,"Status inválido",IF(AND(L201&lt;&gt;"",OR(NOT(ISNUMBER(L201)),L201&lt;B201,L201&gt;Listas!$B$18)),"Resposta inválida",IF(AND(O201&lt;&gt;"",OR(NOT(ISNUMBER(O201)),O201&lt;B201,O201&gt;Listas!$B$18)),"Resolução inválida",IF(AND(OR(J201="Fechado",J201="Resolvido"),O201=""),"Conclusão sem resolução",IF(OR(NOT(ISNUMBER(S201)),S201&lt;1,S201&gt;5,IF(ISNUMBER(S201),S201&lt;&gt;INT(S201),FALSE),NOT(ISNUMBER(T201)),T201&lt;1,T201&gt;5,IF(ISNUMBER(T201),T201&lt;&gt;INT(T201),FALSE)),"Impacto ou urgência inválido",""))))))))))))))</x:f>
      </x:c>
      <x:c r="Y201" s="194" t="n">
        <x:f>IF(AND(COUNTA(A201:J201,L201,O201,S201:T201,W201)&gt;0,OR(Listas!$B$20="Todos",I201=Listas!$B$20)),1,0)</x:f>
        <x:v>0</x:v>
      </x:c>
      <x:c r="Z201" s="194" t="n">
        <x:f>IF(AND(Y201=1,X201="",J201&lt;&gt;"Cancelado",NOT(OR(J201="Fechado",J201="Resolvido"))),1,0)</x:f>
        <x:v>0</x:v>
      </x:c>
      <x:c r="AA201" s="194" t="n">
        <x:f>IF(AND(Y201=1,X201="",OR(J201="Fechado",J201="Resolvido")),1,0)</x:f>
        <x:v>0</x:v>
      </x:c>
      <x:c r="AB201" s="194" t="n">
        <x:f>IF(Y201=0,0,IF(X201&lt;&gt;"",1,IF(Z201=0,0,IF(P201="ATRASADO",2,IF(AND(M201="ATRASADO",L201=""),3,IF(V201="ESCALAR",4,IF(V201="REVISAR BACKLOG",5,0)))))))</x:f>
        <x:v>0</x:v>
      </x:c>
      <x:c r="AC201" s="194" t="str">
        <x:f>IF(AB201=0,"",COUNTIFS($AB$5:$AB$204,"&gt;0",$AB$5:$AB$204,"&lt;"&amp;AB201)+COUNTIFS($AB$5:AB201,AB201))</x:f>
      </x:c>
      <x:c r="AD201" s="194" t="n">
        <x:f>IF(AND(A201&lt;&gt;"",X201=""),1,0)</x:f>
        <x:v>0</x:v>
      </x:c>
      <x:c r="AE201" s="194" t="n">
        <x:f>IF(AND(Y201=1,X201&lt;&gt;""),1,0)</x:f>
        <x:v>0</x:v>
      </x:c>
      <x:c r="AF201" s="194" t="n">
        <x:f>IF(L201="",1,0)</x:f>
        <x:v>1</x:v>
      </x:c>
    </x:row>
    <x:row r="202">
      <x:c r="A202" s="28"/>
      <x:c r="B202" s="41"/>
      <x:c r="C202" s="28"/>
      <x:c r="D202" s="28"/>
      <x:c r="E202" s="28"/>
      <x:c r="F202" s="28"/>
      <x:c r="G202" s="28"/>
      <x:c r="H202" s="28"/>
      <x:c r="I202" s="28"/>
      <x:c r="J202" s="28"/>
      <x:c r="K202" s="54" t="str">
        <x:f>IF(OR(A202="",X202&lt;&gt;""),"",B202+INDEX(Listas!$B$6:$B$9,MATCH(H202,Listas!$A$6:$A$9,0))/24)</x:f>
      </x:c>
      <x:c r="L202" s="41"/>
      <x:c r="M202" s="55" t="str">
        <x:f>IF(A202="","",IF(X202&lt;&gt;"","DADO PENDENTE",IF(J202="Cancelado","N.A.",IF(L202&lt;&gt;"",IF(L202&lt;=K202,"ATENDIDO","ATRASADO"),IF(OR(J202="Fechado",J202="Resolvido"),"SEM EVIDÊNCIA",IF(Listas!$B$18&gt;K202,"ATRASADO","PENDENTE"))))))</x:f>
      </x:c>
      <x:c r="N202" s="54" t="str">
        <x:f>IF(OR(A202="",X202&lt;&gt;""),"",B202+INDEX(Listas!$C$6:$C$9,MATCH(H202,Listas!$A$6:$A$9,0))/24)</x:f>
      </x:c>
      <x:c r="O202" s="41"/>
      <x:c r="P202" s="55" t="str">
        <x:f>IF(A202="","",IF(X202&lt;&gt;"","DADO PENDENTE",IF(J202="Cancelado","N.A.",IF(OR(J202="Fechado",J202="Resolvido"),IF(O202&lt;=N202,"ATENDIDO","ATRASADO"),IF(Listas!$B$18&gt;N202,"ATRASADO","PENDENTE")))))</x:f>
      </x:c>
      <x:c r="Q202" s="56" t="str">
        <x:f>IF(OR(A202="",X202&lt;&gt;"",J202="Cancelado"),"",24*IF(OR(J202="Fechado",J202="Resolvido"),O202-B202,Listas!$B$18-B202))</x:f>
      </x:c>
      <x:c r="R202" s="57" t="str">
        <x:f>IF(OR(A202="",X202&lt;&gt;"",J202="Cancelado"),"",INT(IF(OR(J202="Fechado",J202="Resolvido"),O202-B202,Listas!$B$18-B202)))</x:f>
      </x:c>
      <x:c r="S202" s="58"/>
      <x:c r="T202" s="58"/>
      <x:c r="U202" s="57" t="str">
        <x:f>IF(OR(A202="",X202&lt;&gt;"",J202="Cancelado"),"",S202*T202)</x:f>
      </x:c>
      <x:c r="V202" s="55" t="str">
        <x:f>IF(A202="","",IF(X202&lt;&gt;"","CORRIGIR DADOS",IF(J202="Cancelado","CANCELADO",IF(OR(J202="Fechado",J202="Resolvido"),"CONCLUÍDO",IF(OR(P202="ATRASADO",U202&gt;=Listas!$B$16),"ESCALAR",IF(AND(M202="ATRASADO",L202=""),"RESPONDER AGORA",IF(R202&gt;=Listas!$B$14,"REVISAR BACKLOG","ACOMPANHAR")))))))</x:f>
      </x:c>
      <x:c r="W202" s="28"/>
      <x:c r="X202" s="194" t="str">
        <x:f>IF(COUNTA(A202:J202,L202,O202,S202:T202,W202)=0,"",IF(OR(NOT(ISNUMBER(Listas!$B$14)),Listas!$B$14&lt;0,NOT(ISNUMBER(Listas!$B$16)),Listas!$B$16&lt;1,COUNT(Listas!$B$6:$C$9)&lt;&gt;8,MIN(Listas!$B$6:$C$9)&lt;=0),"Parâmetros inválidos",IF(A202="","ID ausente",IF(COUNTIFS($A$5:$A$204,A202)&lt;&gt;1,"ID duplicado",IF(OR(NOT(ISNUMBER(B202)),B202&lt;=0),"Abertura inválida",IF(OR(NOT(ISNUMBER(Listas!$B$18)),Listas!$B$18&lt;=0),"Data da análise inválida",IF(B202&gt;Listas!$B$18,"Abertura após análise",IF(COUNTIFS(Listas!$A$6:$A$9,H202)&lt;&gt;1,"Prioridade inválida",IF(COUNTIFS(Equipe!$A$5:$A$12,I202)&lt;&gt;1,"Responsável inválido",IF(COUNTIFS(Listas!$E$6:$E$11,J202)&lt;&gt;1,"Status inválido",IF(AND(L202&lt;&gt;"",OR(NOT(ISNUMBER(L202)),L202&lt;B202,L202&gt;Listas!$B$18)),"Resposta inválida",IF(AND(O202&lt;&gt;"",OR(NOT(ISNUMBER(O202)),O202&lt;B202,O202&gt;Listas!$B$18)),"Resolução inválida",IF(AND(OR(J202="Fechado",J202="Resolvido"),O202=""),"Conclusão sem resolução",IF(OR(NOT(ISNUMBER(S202)),S202&lt;1,S202&gt;5,IF(ISNUMBER(S202),S202&lt;&gt;INT(S202),FALSE),NOT(ISNUMBER(T202)),T202&lt;1,T202&gt;5,IF(ISNUMBER(T202),T202&lt;&gt;INT(T202),FALSE)),"Impacto ou urgência inválido",""))))))))))))))</x:f>
      </x:c>
      <x:c r="Y202" s="194" t="n">
        <x:f>IF(AND(COUNTA(A202:J202,L202,O202,S202:T202,W202)&gt;0,OR(Listas!$B$20="Todos",I202=Listas!$B$20)),1,0)</x:f>
        <x:v>0</x:v>
      </x:c>
      <x:c r="Z202" s="194" t="n">
        <x:f>IF(AND(Y202=1,X202="",J202&lt;&gt;"Cancelado",NOT(OR(J202="Fechado",J202="Resolvido"))),1,0)</x:f>
        <x:v>0</x:v>
      </x:c>
      <x:c r="AA202" s="194" t="n">
        <x:f>IF(AND(Y202=1,X202="",OR(J202="Fechado",J202="Resolvido")),1,0)</x:f>
        <x:v>0</x:v>
      </x:c>
      <x:c r="AB202" s="194" t="n">
        <x:f>IF(Y202=0,0,IF(X202&lt;&gt;"",1,IF(Z202=0,0,IF(P202="ATRASADO",2,IF(AND(M202="ATRASADO",L202=""),3,IF(V202="ESCALAR",4,IF(V202="REVISAR BACKLOG",5,0)))))))</x:f>
        <x:v>0</x:v>
      </x:c>
      <x:c r="AC202" s="194" t="str">
        <x:f>IF(AB202=0,"",COUNTIFS($AB$5:$AB$204,"&gt;0",$AB$5:$AB$204,"&lt;"&amp;AB202)+COUNTIFS($AB$5:AB202,AB202))</x:f>
      </x:c>
      <x:c r="AD202" s="194" t="n">
        <x:f>IF(AND(A202&lt;&gt;"",X202=""),1,0)</x:f>
        <x:v>0</x:v>
      </x:c>
      <x:c r="AE202" s="194" t="n">
        <x:f>IF(AND(Y202=1,X202&lt;&gt;""),1,0)</x:f>
        <x:v>0</x:v>
      </x:c>
      <x:c r="AF202" s="194" t="n">
        <x:f>IF(L202="",1,0)</x:f>
        <x:v>1</x:v>
      </x:c>
    </x:row>
    <x:row r="203">
      <x:c r="A203" s="28"/>
      <x:c r="B203" s="41"/>
      <x:c r="C203" s="28"/>
      <x:c r="D203" s="28"/>
      <x:c r="E203" s="28"/>
      <x:c r="F203" s="28"/>
      <x:c r="G203" s="28"/>
      <x:c r="H203" s="28"/>
      <x:c r="I203" s="28"/>
      <x:c r="J203" s="28"/>
      <x:c r="K203" s="54" t="str">
        <x:f>IF(OR(A203="",X203&lt;&gt;""),"",B203+INDEX(Listas!$B$6:$B$9,MATCH(H203,Listas!$A$6:$A$9,0))/24)</x:f>
      </x:c>
      <x:c r="L203" s="41"/>
      <x:c r="M203" s="55" t="str">
        <x:f>IF(A203="","",IF(X203&lt;&gt;"","DADO PENDENTE",IF(J203="Cancelado","N.A.",IF(L203&lt;&gt;"",IF(L203&lt;=K203,"ATENDIDO","ATRASADO"),IF(OR(J203="Fechado",J203="Resolvido"),"SEM EVIDÊNCIA",IF(Listas!$B$18&gt;K203,"ATRASADO","PENDENTE"))))))</x:f>
      </x:c>
      <x:c r="N203" s="54" t="str">
        <x:f>IF(OR(A203="",X203&lt;&gt;""),"",B203+INDEX(Listas!$C$6:$C$9,MATCH(H203,Listas!$A$6:$A$9,0))/24)</x:f>
      </x:c>
      <x:c r="O203" s="41"/>
      <x:c r="P203" s="55" t="str">
        <x:f>IF(A203="","",IF(X203&lt;&gt;"","DADO PENDENTE",IF(J203="Cancelado","N.A.",IF(OR(J203="Fechado",J203="Resolvido"),IF(O203&lt;=N203,"ATENDIDO","ATRASADO"),IF(Listas!$B$18&gt;N203,"ATRASADO","PENDENTE")))))</x:f>
      </x:c>
      <x:c r="Q203" s="56" t="str">
        <x:f>IF(OR(A203="",X203&lt;&gt;"",J203="Cancelado"),"",24*IF(OR(J203="Fechado",J203="Resolvido"),O203-B203,Listas!$B$18-B203))</x:f>
      </x:c>
      <x:c r="R203" s="57" t="str">
        <x:f>IF(OR(A203="",X203&lt;&gt;"",J203="Cancelado"),"",INT(IF(OR(J203="Fechado",J203="Resolvido"),O203-B203,Listas!$B$18-B203)))</x:f>
      </x:c>
      <x:c r="S203" s="58"/>
      <x:c r="T203" s="58"/>
      <x:c r="U203" s="57" t="str">
        <x:f>IF(OR(A203="",X203&lt;&gt;"",J203="Cancelado"),"",S203*T203)</x:f>
      </x:c>
      <x:c r="V203" s="55" t="str">
        <x:f>IF(A203="","",IF(X203&lt;&gt;"","CORRIGIR DADOS",IF(J203="Cancelado","CANCELADO",IF(OR(J203="Fechado",J203="Resolvido"),"CONCLUÍDO",IF(OR(P203="ATRASADO",U203&gt;=Listas!$B$16),"ESCALAR",IF(AND(M203="ATRASADO",L203=""),"RESPONDER AGORA",IF(R203&gt;=Listas!$B$14,"REVISAR BACKLOG","ACOMPANHAR")))))))</x:f>
      </x:c>
      <x:c r="W203" s="28"/>
      <x:c r="X203" s="194" t="str">
        <x:f>IF(COUNTA(A203:J203,L203,O203,S203:T203,W203)=0,"",IF(OR(NOT(ISNUMBER(Listas!$B$14)),Listas!$B$14&lt;0,NOT(ISNUMBER(Listas!$B$16)),Listas!$B$16&lt;1,COUNT(Listas!$B$6:$C$9)&lt;&gt;8,MIN(Listas!$B$6:$C$9)&lt;=0),"Parâmetros inválidos",IF(A203="","ID ausente",IF(COUNTIFS($A$5:$A$204,A203)&lt;&gt;1,"ID duplicado",IF(OR(NOT(ISNUMBER(B203)),B203&lt;=0),"Abertura inválida",IF(OR(NOT(ISNUMBER(Listas!$B$18)),Listas!$B$18&lt;=0),"Data da análise inválida",IF(B203&gt;Listas!$B$18,"Abertura após análise",IF(COUNTIFS(Listas!$A$6:$A$9,H203)&lt;&gt;1,"Prioridade inválida",IF(COUNTIFS(Equipe!$A$5:$A$12,I203)&lt;&gt;1,"Responsável inválido",IF(COUNTIFS(Listas!$E$6:$E$11,J203)&lt;&gt;1,"Status inválido",IF(AND(L203&lt;&gt;"",OR(NOT(ISNUMBER(L203)),L203&lt;B203,L203&gt;Listas!$B$18)),"Resposta inválida",IF(AND(O203&lt;&gt;"",OR(NOT(ISNUMBER(O203)),O203&lt;B203,O203&gt;Listas!$B$18)),"Resolução inválida",IF(AND(OR(J203="Fechado",J203="Resolvido"),O203=""),"Conclusão sem resolução",IF(OR(NOT(ISNUMBER(S203)),S203&lt;1,S203&gt;5,IF(ISNUMBER(S203),S203&lt;&gt;INT(S203),FALSE),NOT(ISNUMBER(T203)),T203&lt;1,T203&gt;5,IF(ISNUMBER(T203),T203&lt;&gt;INT(T203),FALSE)),"Impacto ou urgência inválido",""))))))))))))))</x:f>
      </x:c>
      <x:c r="Y203" s="194" t="n">
        <x:f>IF(AND(COUNTA(A203:J203,L203,O203,S203:T203,W203)&gt;0,OR(Listas!$B$20="Todos",I203=Listas!$B$20)),1,0)</x:f>
        <x:v>0</x:v>
      </x:c>
      <x:c r="Z203" s="194" t="n">
        <x:f>IF(AND(Y203=1,X203="",J203&lt;&gt;"Cancelado",NOT(OR(J203="Fechado",J203="Resolvido"))),1,0)</x:f>
        <x:v>0</x:v>
      </x:c>
      <x:c r="AA203" s="194" t="n">
        <x:f>IF(AND(Y203=1,X203="",OR(J203="Fechado",J203="Resolvido")),1,0)</x:f>
        <x:v>0</x:v>
      </x:c>
      <x:c r="AB203" s="194" t="n">
        <x:f>IF(Y203=0,0,IF(X203&lt;&gt;"",1,IF(Z203=0,0,IF(P203="ATRASADO",2,IF(AND(M203="ATRASADO",L203=""),3,IF(V203="ESCALAR",4,IF(V203="REVISAR BACKLOG",5,0)))))))</x:f>
        <x:v>0</x:v>
      </x:c>
      <x:c r="AC203" s="194" t="str">
        <x:f>IF(AB203=0,"",COUNTIFS($AB$5:$AB$204,"&gt;0",$AB$5:$AB$204,"&lt;"&amp;AB203)+COUNTIFS($AB$5:AB203,AB203))</x:f>
      </x:c>
      <x:c r="AD203" s="194" t="n">
        <x:f>IF(AND(A203&lt;&gt;"",X203=""),1,0)</x:f>
        <x:v>0</x:v>
      </x:c>
      <x:c r="AE203" s="194" t="n">
        <x:f>IF(AND(Y203=1,X203&lt;&gt;""),1,0)</x:f>
        <x:v>0</x:v>
      </x:c>
      <x:c r="AF203" s="194" t="n">
        <x:f>IF(L203="",1,0)</x:f>
        <x:v>1</x:v>
      </x:c>
    </x:row>
    <x:row r="204">
      <x:c r="A204" s="29"/>
      <x:c r="B204" s="59"/>
      <x:c r="C204" s="29"/>
      <x:c r="D204" s="29"/>
      <x:c r="E204" s="29"/>
      <x:c r="F204" s="29"/>
      <x:c r="G204" s="29"/>
      <x:c r="H204" s="29"/>
      <x:c r="I204" s="29"/>
      <x:c r="J204" s="29"/>
      <x:c r="K204" s="60" t="str">
        <x:f>IF(OR(A204="",X204&lt;&gt;""),"",B204+INDEX(Listas!$B$6:$B$9,MATCH(H204,Listas!$A$6:$A$9,0))/24)</x:f>
      </x:c>
      <x:c r="L204" s="59"/>
      <x:c r="M204" s="61" t="str">
        <x:f>IF(A204="","",IF(X204&lt;&gt;"","DADO PENDENTE",IF(J204="Cancelado","N.A.",IF(L204&lt;&gt;"",IF(L204&lt;=K204,"ATENDIDO","ATRASADO"),IF(OR(J204="Fechado",J204="Resolvido"),"SEM EVIDÊNCIA",IF(Listas!$B$18&gt;K204,"ATRASADO","PENDENTE"))))))</x:f>
      </x:c>
      <x:c r="N204" s="60" t="str">
        <x:f>IF(OR(A204="",X204&lt;&gt;""),"",B204+INDEX(Listas!$C$6:$C$9,MATCH(H204,Listas!$A$6:$A$9,0))/24)</x:f>
      </x:c>
      <x:c r="O204" s="59"/>
      <x:c r="P204" s="61" t="str">
        <x:f>IF(A204="","",IF(X204&lt;&gt;"","DADO PENDENTE",IF(J204="Cancelado","N.A.",IF(OR(J204="Fechado",J204="Resolvido"),IF(O204&lt;=N204,"ATENDIDO","ATRASADO"),IF(Listas!$B$18&gt;N204,"ATRASADO","PENDENTE")))))</x:f>
      </x:c>
      <x:c r="Q204" s="62" t="str">
        <x:f>IF(OR(A204="",X204&lt;&gt;"",J204="Cancelado"),"",24*IF(OR(J204="Fechado",J204="Resolvido"),O204-B204,Listas!$B$18-B204))</x:f>
      </x:c>
      <x:c r="R204" s="63" t="str">
        <x:f>IF(OR(A204="",X204&lt;&gt;"",J204="Cancelado"),"",INT(IF(OR(J204="Fechado",J204="Resolvido"),O204-B204,Listas!$B$18-B204)))</x:f>
      </x:c>
      <x:c r="S204" s="64"/>
      <x:c r="T204" s="64"/>
      <x:c r="U204" s="63" t="str">
        <x:f>IF(OR(A204="",X204&lt;&gt;"",J204="Cancelado"),"",S204*T204)</x:f>
      </x:c>
      <x:c r="V204" s="61" t="str">
        <x:f>IF(A204="","",IF(X204&lt;&gt;"","CORRIGIR DADOS",IF(J204="Cancelado","CANCELADO",IF(OR(J204="Fechado",J204="Resolvido"),"CONCLUÍDO",IF(OR(P204="ATRASADO",U204&gt;=Listas!$B$16),"ESCALAR",IF(AND(M204="ATRASADO",L204=""),"RESPONDER AGORA",IF(R204&gt;=Listas!$B$14,"REVISAR BACKLOG","ACOMPANHAR")))))))</x:f>
      </x:c>
      <x:c r="W204" s="29"/>
      <x:c r="X204" s="194" t="str">
        <x:f>IF(COUNTA(A204:J204,L204,O204,S204:T204,W204)=0,"",IF(OR(NOT(ISNUMBER(Listas!$B$14)),Listas!$B$14&lt;0,NOT(ISNUMBER(Listas!$B$16)),Listas!$B$16&lt;1,COUNT(Listas!$B$6:$C$9)&lt;&gt;8,MIN(Listas!$B$6:$C$9)&lt;=0),"Parâmetros inválidos",IF(A204="","ID ausente",IF(COUNTIFS($A$5:$A$204,A204)&lt;&gt;1,"ID duplicado",IF(OR(NOT(ISNUMBER(B204)),B204&lt;=0),"Abertura inválida",IF(OR(NOT(ISNUMBER(Listas!$B$18)),Listas!$B$18&lt;=0),"Data da análise inválida",IF(B204&gt;Listas!$B$18,"Abertura após análise",IF(COUNTIFS(Listas!$A$6:$A$9,H204)&lt;&gt;1,"Prioridade inválida",IF(COUNTIFS(Equipe!$A$5:$A$12,I204)&lt;&gt;1,"Responsável inválido",IF(COUNTIFS(Listas!$E$6:$E$11,J204)&lt;&gt;1,"Status inválido",IF(AND(L204&lt;&gt;"",OR(NOT(ISNUMBER(L204)),L204&lt;B204,L204&gt;Listas!$B$18)),"Resposta inválida",IF(AND(O204&lt;&gt;"",OR(NOT(ISNUMBER(O204)),O204&lt;B204,O204&gt;Listas!$B$18)),"Resolução inválida",IF(AND(OR(J204="Fechado",J204="Resolvido"),O204=""),"Conclusão sem resolução",IF(OR(NOT(ISNUMBER(S204)),S204&lt;1,S204&gt;5,IF(ISNUMBER(S204),S204&lt;&gt;INT(S204),FALSE),NOT(ISNUMBER(T204)),T204&lt;1,T204&gt;5,IF(ISNUMBER(T204),T204&lt;&gt;INT(T204),FALSE)),"Impacto ou urgência inválido",""))))))))))))))</x:f>
      </x:c>
      <x:c r="Y204" s="194" t="n">
        <x:f>IF(AND(COUNTA(A204:J204,L204,O204,S204:T204,W204)&gt;0,OR(Listas!$B$20="Todos",I204=Listas!$B$20)),1,0)</x:f>
        <x:v>0</x:v>
      </x:c>
      <x:c r="Z204" s="194" t="n">
        <x:f>IF(AND(Y204=1,X204="",J204&lt;&gt;"Cancelado",NOT(OR(J204="Fechado",J204="Resolvido"))),1,0)</x:f>
        <x:v>0</x:v>
      </x:c>
      <x:c r="AA204" s="194" t="n">
        <x:f>IF(AND(Y204=1,X204="",OR(J204="Fechado",J204="Resolvido")),1,0)</x:f>
        <x:v>0</x:v>
      </x:c>
      <x:c r="AB204" s="194" t="n">
        <x:f>IF(Y204=0,0,IF(X204&lt;&gt;"",1,IF(Z204=0,0,IF(P204="ATRASADO",2,IF(AND(M204="ATRASADO",L204=""),3,IF(V204="ESCALAR",4,IF(V204="REVISAR BACKLOG",5,0)))))))</x:f>
        <x:v>0</x:v>
      </x:c>
      <x:c r="AC204" s="194" t="str">
        <x:f>IF(AB204=0,"",COUNTIFS($AB$5:$AB$204,"&gt;0",$AB$5:$AB$204,"&lt;"&amp;AB204)+COUNTIFS($AB$5:AB204,AB204))</x:f>
      </x:c>
      <x:c r="AD204" s="194" t="n">
        <x:f>IF(AND(A204&lt;&gt;"",X204=""),1,0)</x:f>
        <x:v>0</x:v>
      </x:c>
      <x:c r="AE204" s="194" t="n">
        <x:f>IF(AND(Y204=1,X204&lt;&gt;""),1,0)</x:f>
        <x:v>0</x:v>
      </x:c>
      <x:c r="AF204" s="194" t="n">
        <x:f>IF(L204="",1,0)</x:f>
        <x:v>1</x:v>
      </x:c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</x:row>
  </x:sheetData>
  <x:mergeCells>
    <x:mergeCell ref="A1:W1"/>
    <x:mergeCell ref="A2:W2"/>
  </x:mergeCells>
  <x:conditionalFormatting sqref="M5:M204">
    <x:cfRule type="containsText" dxfId="0" priority="1" operator="containsText" text="ATRASADO"/>
  </x:conditionalFormatting>
  <x:conditionalFormatting sqref="P5:P204">
    <x:cfRule type="containsText" dxfId="1" priority="2" operator="containsText" text="ATRASADO"/>
  </x:conditionalFormatting>
  <x:conditionalFormatting sqref="V5:V204">
    <x:cfRule type="containsText" dxfId="2" priority="3" operator="containsText" text="ESCALAR"/>
    <x:cfRule type="containsText" dxfId="3" priority="4" operator="containsText" text="RESPONDER"/>
  </x:conditionalFormatting>
  <x:dataValidations count="10">
    <x:dataValidation type="list" sqref="D5:D204">
      <x:formula1>Listas!$H$6:$H$12</x:formula1>
    </x:dataValidation>
    <x:dataValidation type="list" sqref="E5:E204">
      <x:formula1>Listas!$F$6:$F$13</x:formula1>
    </x:dataValidation>
    <x:dataValidation type="list" sqref="G5:G204">
      <x:formula1>Listas!$G$6:$G$9</x:formula1>
    </x:dataValidation>
    <x:dataValidation type="list" sqref="H5:H204">
      <x:formula1>Listas!$A$6:$A$9</x:formula1>
    </x:dataValidation>
    <x:dataValidation type="list" sqref="I5:I204">
      <x:formula1>Equipe!$A$5:$A$12</x:formula1>
    </x:dataValidation>
    <x:dataValidation type="list" sqref="J5:J204">
      <x:formula1>Listas!$E$6:$E$11</x:formula1>
    </x:dataValidation>
    <x:dataValidation type="whole" operator="between" sqref="S5:T204">
      <x:formula1>1</x:formula1>
      <x:formula2>5</x:formula2>
    </x:dataValidation>
    <x:dataValidation type="decimal" operator="greaterThan" sqref="B5:B204">
      <x:formula1>0</x:formula1>
    </x:dataValidation>
    <x:dataValidation type="decimal" operator="greaterThan" sqref="L5:L204">
      <x:formula1>0</x:formula1>
    </x:dataValidation>
    <x:dataValidation type="decimal" operator="greaterThan" sqref="O5:O204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788349491b747b9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5" hidden="0" customWidth="1"/>
    <x:col min="2" max="2" width="21" hidden="0" customWidth="1"/>
    <x:col min="3" max="3" width="22" hidden="0" customWidth="1"/>
    <x:col min="4" max="4" width="19" hidden="0" customWidth="1"/>
    <x:col min="5" max="5" width="60" hidden="0" customWidth="1"/>
    <x:col min="6" max="6" width="21" hidden="0" customWidth="1"/>
    <x:col min="7" max="7" width="18" hidden="0" customWidth="1"/>
  </x:cols>
  <x:sheetData>
    <x:row r="1" ht="34" customHeight="1">
      <x:c r="A1" s="4" t="str">
        <x:v>HISTÓRICO DE ATENDIMENTOS</x:v>
      </x:c>
      <x:c r="B1" s="4" t="str">
        <x:v>HISTÓRICO DE ATENDIMENTOS</x:v>
      </x:c>
      <x:c r="C1" s="4" t="str">
        <x:v>HISTÓRICO DE ATENDIMENTOS</x:v>
      </x:c>
      <x:c r="D1" s="4" t="str">
        <x:v>HISTÓRICO DE ATENDIMENTOS</x:v>
      </x:c>
      <x:c r="E1" s="4" t="str">
        <x:v>HISTÓRICO DE ATENDIMENTOS</x:v>
      </x:c>
      <x:c r="F1" s="4" t="str">
        <x:v>HISTÓRICO DE ATENDIMENTOS</x:v>
      </x:c>
      <x:c r="G1" s="4" t="str">
        <x:v>HISTÓRICO DE ATENDIMENTOS</x:v>
      </x:c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8" customHeight="1">
      <x:c r="A2" s="8" t="str">
        <x:v>Registre cada interação relevante para manter rastreabilidade, próximos retornos e esforço de atendimento.</x:v>
      </x:c>
      <x:c r="B2" s="8" t="str">
        <x:v>Registre cada interação relevante para manter rastreabilidade, próximos retornos e esforço de atendimento.</x:v>
      </x:c>
      <x:c r="C2" s="8" t="str">
        <x:v>Registre cada interação relevante para manter rastreabilidade, próximos retornos e esforço de atendimento.</x:v>
      </x:c>
      <x:c r="D2" s="8" t="str">
        <x:v>Registre cada interação relevante para manter rastreabilidade, próximos retornos e esforço de atendimento.</x:v>
      </x:c>
      <x:c r="E2" s="8" t="str">
        <x:v>Registre cada interação relevante para manter rastreabilidade, próximos retornos e esforço de atendimento.</x:v>
      </x:c>
      <x:c r="F2" s="8" t="str">
        <x:v>Registre cada interação relevante para manter rastreabilidade, próximos retornos e esforço de atendimento.</x:v>
      </x:c>
      <x:c r="G2" s="8" t="str">
        <x:v>Registre cada interação relevante para manter rastreabilidade, próximos retornos e esforço de atendimento.</x:v>
      </x:c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42" customHeight="1">
      <x:c r="A4" s="22" t="str">
        <x:v>ID chamado</x:v>
      </x:c>
      <x:c r="B4" s="23" t="str">
        <x:v>Data e hora</x:v>
      </x:c>
      <x:c r="C4" s="23" t="str">
        <x:v>Responsável</x:v>
      </x:c>
      <x:c r="D4" s="23" t="str">
        <x:v>Etapa</x:v>
      </x:c>
      <x:c r="E4" s="23" t="str">
        <x:v>Comentário</x:v>
      </x:c>
      <x:c r="F4" s="23" t="str">
        <x:v>Próximo retorno</x:v>
      </x:c>
      <x:c r="G4" s="24" t="str">
        <x:v>Duração (min)</x:v>
      </x:c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>
      <x:c r="A5" s="27" t="str">
        <x:v>CH-0001</x:v>
      </x:c>
      <x:c r="B5" s="48" t="n">
        <x:v>46291.354166666664</x:v>
      </x:c>
      <x:c r="C5" s="27" t="str">
        <x:v>Ana Lima</x:v>
      </x:c>
      <x:c r="D5" s="27" t="str">
        <x:v>Diagnóstico</x:v>
      </x:c>
      <x:c r="E5" s="27" t="str">
        <x:v>Falha reproduzida e contingência iniciada</x:v>
      </x:c>
      <x:c r="F5" s="48" t="n">
        <x:v>46291.416666666664</x:v>
      </x:c>
      <x:c r="G5" s="30" t="n">
        <x:v>35</x:v>
      </x:c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>
      <x:c r="A6" s="28" t="str">
        <x:v>CH-0001</x:v>
      </x:c>
      <x:c r="B6" s="41" t="n">
        <x:v>46291.427083333336</x:v>
      </x:c>
      <x:c r="C6" s="28" t="str">
        <x:v>Ana Lima</x:v>
      </x:c>
      <x:c r="D6" s="28" t="str">
        <x:v>Escalonamento</x:v>
      </x:c>
      <x:c r="E6" s="28" t="str">
        <x:v>Fornecedor acionado para correção</x:v>
      </x:c>
      <x:c r="F6" s="41" t="n">
        <x:v>46291.5</x:v>
      </x:c>
      <x:c r="G6" s="31" t="n">
        <x:v>20</x:v>
      </x:c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</x:row>
    <x:row r="7">
      <x:c r="A7" s="28" t="str">
        <x:v>CH-0003</x:v>
      </x:c>
      <x:c r="B7" s="41" t="n">
        <x:v>46290.666666666664</x:v>
      </x:c>
      <x:c r="C7" s="28" t="str">
        <x:v>Carla Souza</x:v>
      </x:c>
      <x:c r="D7" s="28" t="str">
        <x:v>Diagnóstico</x:v>
      </x:c>
      <x:c r="E7" s="28" t="str">
        <x:v>Fonte apresentou falha elétrica</x:v>
      </x:c>
      <x:c r="F7" s="41" t="n">
        <x:v>46291.375</x:v>
      </x:c>
      <x:c r="G7" s="31" t="n">
        <x:v>25</x:v>
      </x:c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</x:row>
    <x:row r="8">
      <x:c r="A8" s="28" t="str">
        <x:v>CH-0003</x:v>
      </x:c>
      <x:c r="B8" s="41" t="n">
        <x:v>46291.416666666664</x:v>
      </x:c>
      <x:c r="C8" s="28" t="str">
        <x:v>Carla Souza</x:v>
      </x:c>
      <x:c r="D8" s="28" t="str">
        <x:v>Solução</x:v>
      </x:c>
      <x:c r="E8" s="28" t="str">
        <x:v>Fonte substituída e equipamento testado</x:v>
      </x:c>
      <x:c r="F8" s="41"/>
      <x:c r="G8" s="31" t="n">
        <x:v>40</x:v>
      </x:c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</x:row>
    <x:row r="9">
      <x:c r="A9" s="28" t="str">
        <x:v>CH-0004</x:v>
      </x:c>
      <x:c r="B9" s="41" t="n">
        <x:v>46290.375</x:v>
      </x:c>
      <x:c r="C9" s="28" t="str">
        <x:v>Diego Martins</x:v>
      </x:c>
      <x:c r="D9" s="28" t="str">
        <x:v>Aguardando</x:v>
      </x:c>
      <x:c r="E9" s="28" t="str">
        <x:v>Licença solicitada ao fornecedor</x:v>
      </x:c>
      <x:c r="F9" s="41" t="n">
        <x:v>46293.375</x:v>
      </x:c>
      <x:c r="G9" s="31" t="n">
        <x:v>15</x:v>
      </x:c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</x:row>
    <x:row r="10">
      <x:c r="A10" s="28" t="str">
        <x:v>CH-0005</x:v>
      </x:c>
      <x:c r="B10" s="41" t="n">
        <x:v>46288.510416666664</x:v>
      </x:c>
      <x:c r="C10" s="28" t="str">
        <x:v>Ana Lima</x:v>
      </x:c>
      <x:c r="D10" s="28" t="str">
        <x:v>Diagnóstico</x:v>
      </x:c>
      <x:c r="E10" s="28" t="str">
        <x:v>Ponto de acesso travado</x:v>
      </x:c>
      <x:c r="F10" s="41" t="n">
        <x:v>46288.666666666664</x:v>
      </x:c>
      <x:c r="G10" s="31" t="n">
        <x:v>30</x:v>
      </x:c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</x:row>
    <x:row r="11">
      <x:c r="A11" s="28" t="str">
        <x:v>CH-0006</x:v>
      </x:c>
      <x:c r="B11" s="41" t="n">
        <x:v>46283.645833333336</x:v>
      </x:c>
      <x:c r="C11" s="28" t="str">
        <x:v>Bruno Reis</x:v>
      </x:c>
      <x:c r="D11" s="28" t="str">
        <x:v>Aguardando</x:v>
      </x:c>
      <x:c r="E11" s="28" t="str">
        <x:v>Peça solicitada ao fornecedor</x:v>
      </x:c>
      <x:c r="F11" s="41" t="n">
        <x:v>46293.583333333336</x:v>
      </x:c>
      <x:c r="G11" s="31" t="n">
        <x:v>20</x:v>
      </x:c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</x:row>
    <x:row r="12">
      <x:c r="A12" s="28"/>
      <x:c r="B12" s="41"/>
      <x:c r="C12" s="28"/>
      <x:c r="D12" s="28"/>
      <x:c r="E12" s="28"/>
      <x:c r="F12" s="41"/>
      <x:c r="G12" s="3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</x:row>
    <x:row r="13">
      <x:c r="A13" s="28"/>
      <x:c r="B13" s="41"/>
      <x:c r="C13" s="28"/>
      <x:c r="D13" s="28"/>
      <x:c r="E13" s="28"/>
      <x:c r="F13" s="41"/>
      <x:c r="G13" s="3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</x:row>
    <x:row r="14">
      <x:c r="A14" s="28"/>
      <x:c r="B14" s="41"/>
      <x:c r="C14" s="28"/>
      <x:c r="D14" s="28"/>
      <x:c r="E14" s="28"/>
      <x:c r="F14" s="41"/>
      <x:c r="G14" s="3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</x:row>
    <x:row r="15">
      <x:c r="A15" s="28"/>
      <x:c r="B15" s="41"/>
      <x:c r="C15" s="28"/>
      <x:c r="D15" s="28"/>
      <x:c r="E15" s="28"/>
      <x:c r="F15" s="41"/>
      <x:c r="G15" s="3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</x:row>
    <x:row r="16">
      <x:c r="A16" s="28"/>
      <x:c r="B16" s="41"/>
      <x:c r="C16" s="28"/>
      <x:c r="D16" s="28"/>
      <x:c r="E16" s="28"/>
      <x:c r="F16" s="41"/>
      <x:c r="G16" s="3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</x:row>
    <x:row r="17">
      <x:c r="A17" s="28"/>
      <x:c r="B17" s="41"/>
      <x:c r="C17" s="28"/>
      <x:c r="D17" s="28"/>
      <x:c r="E17" s="28"/>
      <x:c r="F17" s="41"/>
      <x:c r="G17" s="3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</x:row>
    <x:row r="18">
      <x:c r="A18" s="28"/>
      <x:c r="B18" s="41"/>
      <x:c r="C18" s="28"/>
      <x:c r="D18" s="28"/>
      <x:c r="E18" s="28"/>
      <x:c r="F18" s="41"/>
      <x:c r="G18" s="3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</x:row>
    <x:row r="19">
      <x:c r="A19" s="28"/>
      <x:c r="B19" s="41"/>
      <x:c r="C19" s="28"/>
      <x:c r="D19" s="28"/>
      <x:c r="E19" s="28"/>
      <x:c r="F19" s="41"/>
      <x:c r="G19" s="3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</x:row>
    <x:row r="20">
      <x:c r="A20" s="28"/>
      <x:c r="B20" s="41"/>
      <x:c r="C20" s="28"/>
      <x:c r="D20" s="28"/>
      <x:c r="E20" s="28"/>
      <x:c r="F20" s="41"/>
      <x:c r="G20" s="3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</x:row>
    <x:row r="21">
      <x:c r="A21" s="28"/>
      <x:c r="B21" s="41"/>
      <x:c r="C21" s="28"/>
      <x:c r="D21" s="28"/>
      <x:c r="E21" s="28"/>
      <x:c r="F21" s="41"/>
      <x:c r="G21" s="3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</x:row>
    <x:row r="22">
      <x:c r="A22" s="28"/>
      <x:c r="B22" s="41"/>
      <x:c r="C22" s="28"/>
      <x:c r="D22" s="28"/>
      <x:c r="E22" s="28"/>
      <x:c r="F22" s="41"/>
      <x:c r="G22" s="3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</x:row>
    <x:row r="23">
      <x:c r="A23" s="28"/>
      <x:c r="B23" s="41"/>
      <x:c r="C23" s="28"/>
      <x:c r="D23" s="28"/>
      <x:c r="E23" s="28"/>
      <x:c r="F23" s="41"/>
      <x:c r="G23" s="3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</x:row>
    <x:row r="24">
      <x:c r="A24" s="28"/>
      <x:c r="B24" s="41"/>
      <x:c r="C24" s="28"/>
      <x:c r="D24" s="28"/>
      <x:c r="E24" s="28"/>
      <x:c r="F24" s="41"/>
      <x:c r="G24" s="3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</x:row>
    <x:row r="25">
      <x:c r="A25" s="28"/>
      <x:c r="B25" s="41"/>
      <x:c r="C25" s="28"/>
      <x:c r="D25" s="28"/>
      <x:c r="E25" s="28"/>
      <x:c r="F25" s="41"/>
      <x:c r="G25" s="3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</x:row>
    <x:row r="26">
      <x:c r="A26" s="28"/>
      <x:c r="B26" s="41"/>
      <x:c r="C26" s="28"/>
      <x:c r="D26" s="28"/>
      <x:c r="E26" s="28"/>
      <x:c r="F26" s="41"/>
      <x:c r="G26" s="3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</x:row>
    <x:row r="27">
      <x:c r="A27" s="28"/>
      <x:c r="B27" s="41"/>
      <x:c r="C27" s="28"/>
      <x:c r="D27" s="28"/>
      <x:c r="E27" s="28"/>
      <x:c r="F27" s="41"/>
      <x:c r="G27" s="3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</x:row>
    <x:row r="28">
      <x:c r="A28" s="28"/>
      <x:c r="B28" s="41"/>
      <x:c r="C28" s="28"/>
      <x:c r="D28" s="28"/>
      <x:c r="E28" s="28"/>
      <x:c r="F28" s="41"/>
      <x:c r="G28" s="3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</x:row>
    <x:row r="29">
      <x:c r="A29" s="28"/>
      <x:c r="B29" s="41"/>
      <x:c r="C29" s="28"/>
      <x:c r="D29" s="28"/>
      <x:c r="E29" s="28"/>
      <x:c r="F29" s="41"/>
      <x:c r="G29" s="3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</x:row>
    <x:row r="30">
      <x:c r="A30" s="28"/>
      <x:c r="B30" s="41"/>
      <x:c r="C30" s="28"/>
      <x:c r="D30" s="28"/>
      <x:c r="E30" s="28"/>
      <x:c r="F30" s="41"/>
      <x:c r="G30" s="3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</x:row>
    <x:row r="31">
      <x:c r="A31" s="28"/>
      <x:c r="B31" s="41"/>
      <x:c r="C31" s="28"/>
      <x:c r="D31" s="28"/>
      <x:c r="E31" s="28"/>
      <x:c r="F31" s="41"/>
      <x:c r="G31" s="3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</x:row>
    <x:row r="32">
      <x:c r="A32" s="28"/>
      <x:c r="B32" s="41"/>
      <x:c r="C32" s="28"/>
      <x:c r="D32" s="28"/>
      <x:c r="E32" s="28"/>
      <x:c r="F32" s="41"/>
      <x:c r="G32" s="3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</x:row>
    <x:row r="33">
      <x:c r="A33" s="28"/>
      <x:c r="B33" s="41"/>
      <x:c r="C33" s="28"/>
      <x:c r="D33" s="28"/>
      <x:c r="E33" s="28"/>
      <x:c r="F33" s="41"/>
      <x:c r="G33" s="3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</x:row>
    <x:row r="34">
      <x:c r="A34" s="28"/>
      <x:c r="B34" s="41"/>
      <x:c r="C34" s="28"/>
      <x:c r="D34" s="28"/>
      <x:c r="E34" s="28"/>
      <x:c r="F34" s="41"/>
      <x:c r="G34" s="3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</x:row>
    <x:row r="35">
      <x:c r="A35" s="28"/>
      <x:c r="B35" s="41"/>
      <x:c r="C35" s="28"/>
      <x:c r="D35" s="28"/>
      <x:c r="E35" s="28"/>
      <x:c r="F35" s="41"/>
      <x:c r="G35" s="3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</x:row>
    <x:row r="36">
      <x:c r="A36" s="28"/>
      <x:c r="B36" s="41"/>
      <x:c r="C36" s="28"/>
      <x:c r="D36" s="28"/>
      <x:c r="E36" s="28"/>
      <x:c r="F36" s="41"/>
      <x:c r="G36" s="3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</x:row>
    <x:row r="37">
      <x:c r="A37" s="28"/>
      <x:c r="B37" s="41"/>
      <x:c r="C37" s="28"/>
      <x:c r="D37" s="28"/>
      <x:c r="E37" s="28"/>
      <x:c r="F37" s="41"/>
      <x:c r="G37" s="3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</x:row>
    <x:row r="38">
      <x:c r="A38" s="28"/>
      <x:c r="B38" s="41"/>
      <x:c r="C38" s="28"/>
      <x:c r="D38" s="28"/>
      <x:c r="E38" s="28"/>
      <x:c r="F38" s="41"/>
      <x:c r="G38" s="3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</x:row>
    <x:row r="39">
      <x:c r="A39" s="28"/>
      <x:c r="B39" s="41"/>
      <x:c r="C39" s="28"/>
      <x:c r="D39" s="28"/>
      <x:c r="E39" s="28"/>
      <x:c r="F39" s="41"/>
      <x:c r="G39" s="3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</x:row>
    <x:row r="40">
      <x:c r="A40" s="28"/>
      <x:c r="B40" s="41"/>
      <x:c r="C40" s="28"/>
      <x:c r="D40" s="28"/>
      <x:c r="E40" s="28"/>
      <x:c r="F40" s="41"/>
      <x:c r="G40" s="3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</x:row>
    <x:row r="41">
      <x:c r="A41" s="28"/>
      <x:c r="B41" s="41"/>
      <x:c r="C41" s="28"/>
      <x:c r="D41" s="28"/>
      <x:c r="E41" s="28"/>
      <x:c r="F41" s="41"/>
      <x:c r="G41" s="3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</x:row>
    <x:row r="42">
      <x:c r="A42" s="28"/>
      <x:c r="B42" s="41"/>
      <x:c r="C42" s="28"/>
      <x:c r="D42" s="28"/>
      <x:c r="E42" s="28"/>
      <x:c r="F42" s="41"/>
      <x:c r="G42" s="3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</x:row>
    <x:row r="43">
      <x:c r="A43" s="28"/>
      <x:c r="B43" s="41"/>
      <x:c r="C43" s="28"/>
      <x:c r="D43" s="28"/>
      <x:c r="E43" s="28"/>
      <x:c r="F43" s="41"/>
      <x:c r="G43" s="3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</x:row>
    <x:row r="44">
      <x:c r="A44" s="28"/>
      <x:c r="B44" s="41"/>
      <x:c r="C44" s="28"/>
      <x:c r="D44" s="28"/>
      <x:c r="E44" s="28"/>
      <x:c r="F44" s="41"/>
      <x:c r="G44" s="3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</x:row>
    <x:row r="45">
      <x:c r="A45" s="28"/>
      <x:c r="B45" s="41"/>
      <x:c r="C45" s="28"/>
      <x:c r="D45" s="28"/>
      <x:c r="E45" s="28"/>
      <x:c r="F45" s="41"/>
      <x:c r="G45" s="3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</x:row>
    <x:row r="46">
      <x:c r="A46" s="28"/>
      <x:c r="B46" s="41"/>
      <x:c r="C46" s="28"/>
      <x:c r="D46" s="28"/>
      <x:c r="E46" s="28"/>
      <x:c r="F46" s="41"/>
      <x:c r="G46" s="3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</x:row>
    <x:row r="47">
      <x:c r="A47" s="28"/>
      <x:c r="B47" s="41"/>
      <x:c r="C47" s="28"/>
      <x:c r="D47" s="28"/>
      <x:c r="E47" s="28"/>
      <x:c r="F47" s="41"/>
      <x:c r="G47" s="3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</x:row>
    <x:row r="48">
      <x:c r="A48" s="28"/>
      <x:c r="B48" s="41"/>
      <x:c r="C48" s="28"/>
      <x:c r="D48" s="28"/>
      <x:c r="E48" s="28"/>
      <x:c r="F48" s="41"/>
      <x:c r="G48" s="3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</x:row>
    <x:row r="49">
      <x:c r="A49" s="28"/>
      <x:c r="B49" s="41"/>
      <x:c r="C49" s="28"/>
      <x:c r="D49" s="28"/>
      <x:c r="E49" s="28"/>
      <x:c r="F49" s="41"/>
      <x:c r="G49" s="3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</x:row>
    <x:row r="50">
      <x:c r="A50" s="28"/>
      <x:c r="B50" s="41"/>
      <x:c r="C50" s="28"/>
      <x:c r="D50" s="28"/>
      <x:c r="E50" s="28"/>
      <x:c r="F50" s="41"/>
      <x:c r="G50" s="3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</x:row>
    <x:row r="51">
      <x:c r="A51" s="28"/>
      <x:c r="B51" s="41"/>
      <x:c r="C51" s="28"/>
      <x:c r="D51" s="28"/>
      <x:c r="E51" s="28"/>
      <x:c r="F51" s="41"/>
      <x:c r="G51" s="3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</x:row>
    <x:row r="52">
      <x:c r="A52" s="28"/>
      <x:c r="B52" s="41"/>
      <x:c r="C52" s="28"/>
      <x:c r="D52" s="28"/>
      <x:c r="E52" s="28"/>
      <x:c r="F52" s="41"/>
      <x:c r="G52" s="3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</x:row>
    <x:row r="53">
      <x:c r="A53" s="28"/>
      <x:c r="B53" s="41"/>
      <x:c r="C53" s="28"/>
      <x:c r="D53" s="28"/>
      <x:c r="E53" s="28"/>
      <x:c r="F53" s="41"/>
      <x:c r="G53" s="3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</x:row>
    <x:row r="54">
      <x:c r="A54" s="28"/>
      <x:c r="B54" s="41"/>
      <x:c r="C54" s="28"/>
      <x:c r="D54" s="28"/>
      <x:c r="E54" s="28"/>
      <x:c r="F54" s="41"/>
      <x:c r="G54" s="3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</x:row>
    <x:row r="55">
      <x:c r="A55" s="28"/>
      <x:c r="B55" s="41"/>
      <x:c r="C55" s="28"/>
      <x:c r="D55" s="28"/>
      <x:c r="E55" s="28"/>
      <x:c r="F55" s="41"/>
      <x:c r="G55" s="3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</x:row>
    <x:row r="56">
      <x:c r="A56" s="28"/>
      <x:c r="B56" s="41"/>
      <x:c r="C56" s="28"/>
      <x:c r="D56" s="28"/>
      <x:c r="E56" s="28"/>
      <x:c r="F56" s="41"/>
      <x:c r="G56" s="3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</x:row>
    <x:row r="57">
      <x:c r="A57" s="28"/>
      <x:c r="B57" s="41"/>
      <x:c r="C57" s="28"/>
      <x:c r="D57" s="28"/>
      <x:c r="E57" s="28"/>
      <x:c r="F57" s="41"/>
      <x:c r="G57" s="3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</x:row>
    <x:row r="58">
      <x:c r="A58" s="28"/>
      <x:c r="B58" s="41"/>
      <x:c r="C58" s="28"/>
      <x:c r="D58" s="28"/>
      <x:c r="E58" s="28"/>
      <x:c r="F58" s="41"/>
      <x:c r="G58" s="3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</x:row>
    <x:row r="59">
      <x:c r="A59" s="28"/>
      <x:c r="B59" s="41"/>
      <x:c r="C59" s="28"/>
      <x:c r="D59" s="28"/>
      <x:c r="E59" s="28"/>
      <x:c r="F59" s="41"/>
      <x:c r="G59" s="3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</x:row>
    <x:row r="60">
      <x:c r="A60" s="28"/>
      <x:c r="B60" s="41"/>
      <x:c r="C60" s="28"/>
      <x:c r="D60" s="28"/>
      <x:c r="E60" s="28"/>
      <x:c r="F60" s="41"/>
      <x:c r="G60" s="3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</x:row>
    <x:row r="61">
      <x:c r="A61" s="28"/>
      <x:c r="B61" s="41"/>
      <x:c r="C61" s="28"/>
      <x:c r="D61" s="28"/>
      <x:c r="E61" s="28"/>
      <x:c r="F61" s="41"/>
      <x:c r="G61" s="3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</x:row>
    <x:row r="62">
      <x:c r="A62" s="28"/>
      <x:c r="B62" s="41"/>
      <x:c r="C62" s="28"/>
      <x:c r="D62" s="28"/>
      <x:c r="E62" s="28"/>
      <x:c r="F62" s="41"/>
      <x:c r="G62" s="3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</x:row>
    <x:row r="63">
      <x:c r="A63" s="28"/>
      <x:c r="B63" s="41"/>
      <x:c r="C63" s="28"/>
      <x:c r="D63" s="28"/>
      <x:c r="E63" s="28"/>
      <x:c r="F63" s="41"/>
      <x:c r="G63" s="3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</x:row>
    <x:row r="64">
      <x:c r="A64" s="28"/>
      <x:c r="B64" s="41"/>
      <x:c r="C64" s="28"/>
      <x:c r="D64" s="28"/>
      <x:c r="E64" s="28"/>
      <x:c r="F64" s="41"/>
      <x:c r="G64" s="3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</x:row>
    <x:row r="65">
      <x:c r="A65" s="28"/>
      <x:c r="B65" s="41"/>
      <x:c r="C65" s="28"/>
      <x:c r="D65" s="28"/>
      <x:c r="E65" s="28"/>
      <x:c r="F65" s="41"/>
      <x:c r="G65" s="3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</x:row>
    <x:row r="66">
      <x:c r="A66" s="28"/>
      <x:c r="B66" s="41"/>
      <x:c r="C66" s="28"/>
      <x:c r="D66" s="28"/>
      <x:c r="E66" s="28"/>
      <x:c r="F66" s="41"/>
      <x:c r="G66" s="3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</x:row>
    <x:row r="67">
      <x:c r="A67" s="28"/>
      <x:c r="B67" s="41"/>
      <x:c r="C67" s="28"/>
      <x:c r="D67" s="28"/>
      <x:c r="E67" s="28"/>
      <x:c r="F67" s="41"/>
      <x:c r="G67" s="3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</x:row>
    <x:row r="68">
      <x:c r="A68" s="28"/>
      <x:c r="B68" s="41"/>
      <x:c r="C68" s="28"/>
      <x:c r="D68" s="28"/>
      <x:c r="E68" s="28"/>
      <x:c r="F68" s="41"/>
      <x:c r="G68" s="3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</x:row>
    <x:row r="69">
      <x:c r="A69" s="28"/>
      <x:c r="B69" s="41"/>
      <x:c r="C69" s="28"/>
      <x:c r="D69" s="28"/>
      <x:c r="E69" s="28"/>
      <x:c r="F69" s="41"/>
      <x:c r="G69" s="3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</x:row>
    <x:row r="70">
      <x:c r="A70" s="28"/>
      <x:c r="B70" s="41"/>
      <x:c r="C70" s="28"/>
      <x:c r="D70" s="28"/>
      <x:c r="E70" s="28"/>
      <x:c r="F70" s="41"/>
      <x:c r="G70" s="3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</x:row>
    <x:row r="71">
      <x:c r="A71" s="28"/>
      <x:c r="B71" s="41"/>
      <x:c r="C71" s="28"/>
      <x:c r="D71" s="28"/>
      <x:c r="E71" s="28"/>
      <x:c r="F71" s="41"/>
      <x:c r="G71" s="3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</x:row>
    <x:row r="72">
      <x:c r="A72" s="28"/>
      <x:c r="B72" s="41"/>
      <x:c r="C72" s="28"/>
      <x:c r="D72" s="28"/>
      <x:c r="E72" s="28"/>
      <x:c r="F72" s="41"/>
      <x:c r="G72" s="3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</x:row>
    <x:row r="73">
      <x:c r="A73" s="28"/>
      <x:c r="B73" s="41"/>
      <x:c r="C73" s="28"/>
      <x:c r="D73" s="28"/>
      <x:c r="E73" s="28"/>
      <x:c r="F73" s="41"/>
      <x:c r="G73" s="3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</x:row>
    <x:row r="74">
      <x:c r="A74" s="28"/>
      <x:c r="B74" s="41"/>
      <x:c r="C74" s="28"/>
      <x:c r="D74" s="28"/>
      <x:c r="E74" s="28"/>
      <x:c r="F74" s="41"/>
      <x:c r="G74" s="3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</x:row>
    <x:row r="75">
      <x:c r="A75" s="28"/>
      <x:c r="B75" s="41"/>
      <x:c r="C75" s="28"/>
      <x:c r="D75" s="28"/>
      <x:c r="E75" s="28"/>
      <x:c r="F75" s="41"/>
      <x:c r="G75" s="3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</x:row>
    <x:row r="76">
      <x:c r="A76" s="28"/>
      <x:c r="B76" s="41"/>
      <x:c r="C76" s="28"/>
      <x:c r="D76" s="28"/>
      <x:c r="E76" s="28"/>
      <x:c r="F76" s="41"/>
      <x:c r="G76" s="3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</x:row>
    <x:row r="77">
      <x:c r="A77" s="28"/>
      <x:c r="B77" s="41"/>
      <x:c r="C77" s="28"/>
      <x:c r="D77" s="28"/>
      <x:c r="E77" s="28"/>
      <x:c r="F77" s="41"/>
      <x:c r="G77" s="3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</x:row>
    <x:row r="78">
      <x:c r="A78" s="28"/>
      <x:c r="B78" s="41"/>
      <x:c r="C78" s="28"/>
      <x:c r="D78" s="28"/>
      <x:c r="E78" s="28"/>
      <x:c r="F78" s="41"/>
      <x:c r="G78" s="3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</x:row>
    <x:row r="79">
      <x:c r="A79" s="28"/>
      <x:c r="B79" s="41"/>
      <x:c r="C79" s="28"/>
      <x:c r="D79" s="28"/>
      <x:c r="E79" s="28"/>
      <x:c r="F79" s="41"/>
      <x:c r="G79" s="3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</x:row>
    <x:row r="80">
      <x:c r="A80" s="28"/>
      <x:c r="B80" s="41"/>
      <x:c r="C80" s="28"/>
      <x:c r="D80" s="28"/>
      <x:c r="E80" s="28"/>
      <x:c r="F80" s="41"/>
      <x:c r="G80" s="3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</x:row>
    <x:row r="81">
      <x:c r="A81" s="28"/>
      <x:c r="B81" s="41"/>
      <x:c r="C81" s="28"/>
      <x:c r="D81" s="28"/>
      <x:c r="E81" s="28"/>
      <x:c r="F81" s="41"/>
      <x:c r="G81" s="3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</x:row>
    <x:row r="82">
      <x:c r="A82" s="28"/>
      <x:c r="B82" s="41"/>
      <x:c r="C82" s="28"/>
      <x:c r="D82" s="28"/>
      <x:c r="E82" s="28"/>
      <x:c r="F82" s="41"/>
      <x:c r="G82" s="3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</x:row>
    <x:row r="83">
      <x:c r="A83" s="28"/>
      <x:c r="B83" s="41"/>
      <x:c r="C83" s="28"/>
      <x:c r="D83" s="28"/>
      <x:c r="E83" s="28"/>
      <x:c r="F83" s="41"/>
      <x:c r="G83" s="3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</x:row>
    <x:row r="84">
      <x:c r="A84" s="28"/>
      <x:c r="B84" s="41"/>
      <x:c r="C84" s="28"/>
      <x:c r="D84" s="28"/>
      <x:c r="E84" s="28"/>
      <x:c r="F84" s="41"/>
      <x:c r="G84" s="3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</x:row>
    <x:row r="85">
      <x:c r="A85" s="28"/>
      <x:c r="B85" s="41"/>
      <x:c r="C85" s="28"/>
      <x:c r="D85" s="28"/>
      <x:c r="E85" s="28"/>
      <x:c r="F85" s="41"/>
      <x:c r="G85" s="3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</x:row>
    <x:row r="86">
      <x:c r="A86" s="28"/>
      <x:c r="B86" s="41"/>
      <x:c r="C86" s="28"/>
      <x:c r="D86" s="28"/>
      <x:c r="E86" s="28"/>
      <x:c r="F86" s="41"/>
      <x:c r="G86" s="3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</x:row>
    <x:row r="87">
      <x:c r="A87" s="28"/>
      <x:c r="B87" s="41"/>
      <x:c r="C87" s="28"/>
      <x:c r="D87" s="28"/>
      <x:c r="E87" s="28"/>
      <x:c r="F87" s="41"/>
      <x:c r="G87" s="3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</x:row>
    <x:row r="88">
      <x:c r="A88" s="28"/>
      <x:c r="B88" s="41"/>
      <x:c r="C88" s="28"/>
      <x:c r="D88" s="28"/>
      <x:c r="E88" s="28"/>
      <x:c r="F88" s="41"/>
      <x:c r="G88" s="3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</x:row>
    <x:row r="89">
      <x:c r="A89" s="28"/>
      <x:c r="B89" s="41"/>
      <x:c r="C89" s="28"/>
      <x:c r="D89" s="28"/>
      <x:c r="E89" s="28"/>
      <x:c r="F89" s="41"/>
      <x:c r="G89" s="3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</x:row>
    <x:row r="90">
      <x:c r="A90" s="28"/>
      <x:c r="B90" s="41"/>
      <x:c r="C90" s="28"/>
      <x:c r="D90" s="28"/>
      <x:c r="E90" s="28"/>
      <x:c r="F90" s="41"/>
      <x:c r="G90" s="3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</x:row>
    <x:row r="91">
      <x:c r="A91" s="28"/>
      <x:c r="B91" s="41"/>
      <x:c r="C91" s="28"/>
      <x:c r="D91" s="28"/>
      <x:c r="E91" s="28"/>
      <x:c r="F91" s="41"/>
      <x:c r="G91" s="3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</x:row>
    <x:row r="92">
      <x:c r="A92" s="28"/>
      <x:c r="B92" s="41"/>
      <x:c r="C92" s="28"/>
      <x:c r="D92" s="28"/>
      <x:c r="E92" s="28"/>
      <x:c r="F92" s="41"/>
      <x:c r="G92" s="3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</x:row>
    <x:row r="93">
      <x:c r="A93" s="28"/>
      <x:c r="B93" s="41"/>
      <x:c r="C93" s="28"/>
      <x:c r="D93" s="28"/>
      <x:c r="E93" s="28"/>
      <x:c r="F93" s="41"/>
      <x:c r="G93" s="3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</x:row>
    <x:row r="94">
      <x:c r="A94" s="28"/>
      <x:c r="B94" s="41"/>
      <x:c r="C94" s="28"/>
      <x:c r="D94" s="28"/>
      <x:c r="E94" s="28"/>
      <x:c r="F94" s="41"/>
      <x:c r="G94" s="3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</x:row>
    <x:row r="95">
      <x:c r="A95" s="28"/>
      <x:c r="B95" s="41"/>
      <x:c r="C95" s="28"/>
      <x:c r="D95" s="28"/>
      <x:c r="E95" s="28"/>
      <x:c r="F95" s="41"/>
      <x:c r="G95" s="3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</x:row>
    <x:row r="96">
      <x:c r="A96" s="28"/>
      <x:c r="B96" s="41"/>
      <x:c r="C96" s="28"/>
      <x:c r="D96" s="28"/>
      <x:c r="E96" s="28"/>
      <x:c r="F96" s="41"/>
      <x:c r="G96" s="3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</x:row>
    <x:row r="97">
      <x:c r="A97" s="28"/>
      <x:c r="B97" s="41"/>
      <x:c r="C97" s="28"/>
      <x:c r="D97" s="28"/>
      <x:c r="E97" s="28"/>
      <x:c r="F97" s="41"/>
      <x:c r="G97" s="3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</x:row>
    <x:row r="98">
      <x:c r="A98" s="28"/>
      <x:c r="B98" s="41"/>
      <x:c r="C98" s="28"/>
      <x:c r="D98" s="28"/>
      <x:c r="E98" s="28"/>
      <x:c r="F98" s="41"/>
      <x:c r="G98" s="3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</x:row>
    <x:row r="99">
      <x:c r="A99" s="28"/>
      <x:c r="B99" s="41"/>
      <x:c r="C99" s="28"/>
      <x:c r="D99" s="28"/>
      <x:c r="E99" s="28"/>
      <x:c r="F99" s="41"/>
      <x:c r="G99" s="3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</x:row>
    <x:row r="100">
      <x:c r="A100" s="28"/>
      <x:c r="B100" s="41"/>
      <x:c r="C100" s="28"/>
      <x:c r="D100" s="28"/>
      <x:c r="E100" s="28"/>
      <x:c r="F100" s="41"/>
      <x:c r="G100" s="3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</x:row>
    <x:row r="101">
      <x:c r="A101" s="28"/>
      <x:c r="B101" s="41"/>
      <x:c r="C101" s="28"/>
      <x:c r="D101" s="28"/>
      <x:c r="E101" s="28"/>
      <x:c r="F101" s="41"/>
      <x:c r="G101" s="3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</x:row>
    <x:row r="102">
      <x:c r="A102" s="28"/>
      <x:c r="B102" s="41"/>
      <x:c r="C102" s="28"/>
      <x:c r="D102" s="28"/>
      <x:c r="E102" s="28"/>
      <x:c r="F102" s="41"/>
      <x:c r="G102" s="3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</x:row>
    <x:row r="103">
      <x:c r="A103" s="28"/>
      <x:c r="B103" s="41"/>
      <x:c r="C103" s="28"/>
      <x:c r="D103" s="28"/>
      <x:c r="E103" s="28"/>
      <x:c r="F103" s="41"/>
      <x:c r="G103" s="3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</x:row>
    <x:row r="104">
      <x:c r="A104" s="28"/>
      <x:c r="B104" s="41"/>
      <x:c r="C104" s="28"/>
      <x:c r="D104" s="28"/>
      <x:c r="E104" s="28"/>
      <x:c r="F104" s="41"/>
      <x:c r="G104" s="3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</x:row>
    <x:row r="105">
      <x:c r="A105" s="28"/>
      <x:c r="B105" s="41"/>
      <x:c r="C105" s="28"/>
      <x:c r="D105" s="28"/>
      <x:c r="E105" s="28"/>
      <x:c r="F105" s="41"/>
      <x:c r="G105" s="3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</x:row>
    <x:row r="106">
      <x:c r="A106" s="28"/>
      <x:c r="B106" s="41"/>
      <x:c r="C106" s="28"/>
      <x:c r="D106" s="28"/>
      <x:c r="E106" s="28"/>
      <x:c r="F106" s="41"/>
      <x:c r="G106" s="3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</x:row>
    <x:row r="107">
      <x:c r="A107" s="28"/>
      <x:c r="B107" s="41"/>
      <x:c r="C107" s="28"/>
      <x:c r="D107" s="28"/>
      <x:c r="E107" s="28"/>
      <x:c r="F107" s="41"/>
      <x:c r="G107" s="3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</x:row>
    <x:row r="108">
      <x:c r="A108" s="28"/>
      <x:c r="B108" s="41"/>
      <x:c r="C108" s="28"/>
      <x:c r="D108" s="28"/>
      <x:c r="E108" s="28"/>
      <x:c r="F108" s="41"/>
      <x:c r="G108" s="3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</x:row>
    <x:row r="109">
      <x:c r="A109" s="28"/>
      <x:c r="B109" s="41"/>
      <x:c r="C109" s="28"/>
      <x:c r="D109" s="28"/>
      <x:c r="E109" s="28"/>
      <x:c r="F109" s="41"/>
      <x:c r="G109" s="3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</x:row>
    <x:row r="110">
      <x:c r="A110" s="28"/>
      <x:c r="B110" s="41"/>
      <x:c r="C110" s="28"/>
      <x:c r="D110" s="28"/>
      <x:c r="E110" s="28"/>
      <x:c r="F110" s="41"/>
      <x:c r="G110" s="3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</x:row>
    <x:row r="111">
      <x:c r="A111" s="28"/>
      <x:c r="B111" s="41"/>
      <x:c r="C111" s="28"/>
      <x:c r="D111" s="28"/>
      <x:c r="E111" s="28"/>
      <x:c r="F111" s="41"/>
      <x:c r="G111" s="3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</x:row>
    <x:row r="112">
      <x:c r="A112" s="28"/>
      <x:c r="B112" s="41"/>
      <x:c r="C112" s="28"/>
      <x:c r="D112" s="28"/>
      <x:c r="E112" s="28"/>
      <x:c r="F112" s="41"/>
      <x:c r="G112" s="3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</x:row>
    <x:row r="113">
      <x:c r="A113" s="28"/>
      <x:c r="B113" s="41"/>
      <x:c r="C113" s="28"/>
      <x:c r="D113" s="28"/>
      <x:c r="E113" s="28"/>
      <x:c r="F113" s="41"/>
      <x:c r="G113" s="3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</x:row>
    <x:row r="114">
      <x:c r="A114" s="28"/>
      <x:c r="B114" s="41"/>
      <x:c r="C114" s="28"/>
      <x:c r="D114" s="28"/>
      <x:c r="E114" s="28"/>
      <x:c r="F114" s="41"/>
      <x:c r="G114" s="3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</x:row>
    <x:row r="115">
      <x:c r="A115" s="28"/>
      <x:c r="B115" s="41"/>
      <x:c r="C115" s="28"/>
      <x:c r="D115" s="28"/>
      <x:c r="E115" s="28"/>
      <x:c r="F115" s="41"/>
      <x:c r="G115" s="3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</x:row>
    <x:row r="116">
      <x:c r="A116" s="28"/>
      <x:c r="B116" s="41"/>
      <x:c r="C116" s="28"/>
      <x:c r="D116" s="28"/>
      <x:c r="E116" s="28"/>
      <x:c r="F116" s="41"/>
      <x:c r="G116" s="3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</x:row>
    <x:row r="117">
      <x:c r="A117" s="28"/>
      <x:c r="B117" s="41"/>
      <x:c r="C117" s="28"/>
      <x:c r="D117" s="28"/>
      <x:c r="E117" s="28"/>
      <x:c r="F117" s="41"/>
      <x:c r="G117" s="3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</x:row>
    <x:row r="118">
      <x:c r="A118" s="28"/>
      <x:c r="B118" s="41"/>
      <x:c r="C118" s="28"/>
      <x:c r="D118" s="28"/>
      <x:c r="E118" s="28"/>
      <x:c r="F118" s="41"/>
      <x:c r="G118" s="3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</x:row>
    <x:row r="119">
      <x:c r="A119" s="28"/>
      <x:c r="B119" s="41"/>
      <x:c r="C119" s="28"/>
      <x:c r="D119" s="28"/>
      <x:c r="E119" s="28"/>
      <x:c r="F119" s="41"/>
      <x:c r="G119" s="3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</x:row>
    <x:row r="120">
      <x:c r="A120" s="28"/>
      <x:c r="B120" s="41"/>
      <x:c r="C120" s="28"/>
      <x:c r="D120" s="28"/>
      <x:c r="E120" s="28"/>
      <x:c r="F120" s="41"/>
      <x:c r="G120" s="3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</x:row>
    <x:row r="121">
      <x:c r="A121" s="28"/>
      <x:c r="B121" s="41"/>
      <x:c r="C121" s="28"/>
      <x:c r="D121" s="28"/>
      <x:c r="E121" s="28"/>
      <x:c r="F121" s="41"/>
      <x:c r="G121" s="3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</x:row>
    <x:row r="122">
      <x:c r="A122" s="28"/>
      <x:c r="B122" s="41"/>
      <x:c r="C122" s="28"/>
      <x:c r="D122" s="28"/>
      <x:c r="E122" s="28"/>
      <x:c r="F122" s="41"/>
      <x:c r="G122" s="3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</x:row>
    <x:row r="123">
      <x:c r="A123" s="28"/>
      <x:c r="B123" s="41"/>
      <x:c r="C123" s="28"/>
      <x:c r="D123" s="28"/>
      <x:c r="E123" s="28"/>
      <x:c r="F123" s="41"/>
      <x:c r="G123" s="3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</x:row>
    <x:row r="124">
      <x:c r="A124" s="28"/>
      <x:c r="B124" s="41"/>
      <x:c r="C124" s="28"/>
      <x:c r="D124" s="28"/>
      <x:c r="E124" s="28"/>
      <x:c r="F124" s="41"/>
      <x:c r="G124" s="3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</x:row>
    <x:row r="125">
      <x:c r="A125" s="28"/>
      <x:c r="B125" s="41"/>
      <x:c r="C125" s="28"/>
      <x:c r="D125" s="28"/>
      <x:c r="E125" s="28"/>
      <x:c r="F125" s="41"/>
      <x:c r="G125" s="3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</x:row>
    <x:row r="126">
      <x:c r="A126" s="28"/>
      <x:c r="B126" s="41"/>
      <x:c r="C126" s="28"/>
      <x:c r="D126" s="28"/>
      <x:c r="E126" s="28"/>
      <x:c r="F126" s="41"/>
      <x:c r="G126" s="3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</x:row>
    <x:row r="127">
      <x:c r="A127" s="28"/>
      <x:c r="B127" s="41"/>
      <x:c r="C127" s="28"/>
      <x:c r="D127" s="28"/>
      <x:c r="E127" s="28"/>
      <x:c r="F127" s="41"/>
      <x:c r="G127" s="3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</x:row>
    <x:row r="128">
      <x:c r="A128" s="28"/>
      <x:c r="B128" s="41"/>
      <x:c r="C128" s="28"/>
      <x:c r="D128" s="28"/>
      <x:c r="E128" s="28"/>
      <x:c r="F128" s="41"/>
      <x:c r="G128" s="3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</x:row>
    <x:row r="129">
      <x:c r="A129" s="28"/>
      <x:c r="B129" s="41"/>
      <x:c r="C129" s="28"/>
      <x:c r="D129" s="28"/>
      <x:c r="E129" s="28"/>
      <x:c r="F129" s="41"/>
      <x:c r="G129" s="3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</x:row>
    <x:row r="130">
      <x:c r="A130" s="28"/>
      <x:c r="B130" s="41"/>
      <x:c r="C130" s="28"/>
      <x:c r="D130" s="28"/>
      <x:c r="E130" s="28"/>
      <x:c r="F130" s="41"/>
      <x:c r="G130" s="3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</x:row>
    <x:row r="131">
      <x:c r="A131" s="28"/>
      <x:c r="B131" s="41"/>
      <x:c r="C131" s="28"/>
      <x:c r="D131" s="28"/>
      <x:c r="E131" s="28"/>
      <x:c r="F131" s="41"/>
      <x:c r="G131" s="3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</x:row>
    <x:row r="132">
      <x:c r="A132" s="28"/>
      <x:c r="B132" s="41"/>
      <x:c r="C132" s="28"/>
      <x:c r="D132" s="28"/>
      <x:c r="E132" s="28"/>
      <x:c r="F132" s="41"/>
      <x:c r="G132" s="3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</x:row>
    <x:row r="133">
      <x:c r="A133" s="28"/>
      <x:c r="B133" s="41"/>
      <x:c r="C133" s="28"/>
      <x:c r="D133" s="28"/>
      <x:c r="E133" s="28"/>
      <x:c r="F133" s="41"/>
      <x:c r="G133" s="3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</x:row>
    <x:row r="134">
      <x:c r="A134" s="28"/>
      <x:c r="B134" s="41"/>
      <x:c r="C134" s="28"/>
      <x:c r="D134" s="28"/>
      <x:c r="E134" s="28"/>
      <x:c r="F134" s="41"/>
      <x:c r="G134" s="3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</x:row>
    <x:row r="135">
      <x:c r="A135" s="28"/>
      <x:c r="B135" s="41"/>
      <x:c r="C135" s="28"/>
      <x:c r="D135" s="28"/>
      <x:c r="E135" s="28"/>
      <x:c r="F135" s="41"/>
      <x:c r="G135" s="3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</x:row>
    <x:row r="136">
      <x:c r="A136" s="28"/>
      <x:c r="B136" s="41"/>
      <x:c r="C136" s="28"/>
      <x:c r="D136" s="28"/>
      <x:c r="E136" s="28"/>
      <x:c r="F136" s="41"/>
      <x:c r="G136" s="3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</x:row>
    <x:row r="137">
      <x:c r="A137" s="28"/>
      <x:c r="B137" s="41"/>
      <x:c r="C137" s="28"/>
      <x:c r="D137" s="28"/>
      <x:c r="E137" s="28"/>
      <x:c r="F137" s="41"/>
      <x:c r="G137" s="3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</x:row>
    <x:row r="138">
      <x:c r="A138" s="28"/>
      <x:c r="B138" s="41"/>
      <x:c r="C138" s="28"/>
      <x:c r="D138" s="28"/>
      <x:c r="E138" s="28"/>
      <x:c r="F138" s="41"/>
      <x:c r="G138" s="3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</x:row>
    <x:row r="139">
      <x:c r="A139" s="28"/>
      <x:c r="B139" s="41"/>
      <x:c r="C139" s="28"/>
      <x:c r="D139" s="28"/>
      <x:c r="E139" s="28"/>
      <x:c r="F139" s="41"/>
      <x:c r="G139" s="3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</x:row>
    <x:row r="140">
      <x:c r="A140" s="28"/>
      <x:c r="B140" s="41"/>
      <x:c r="C140" s="28"/>
      <x:c r="D140" s="28"/>
      <x:c r="E140" s="28"/>
      <x:c r="F140" s="41"/>
      <x:c r="G140" s="3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</x:row>
    <x:row r="141">
      <x:c r="A141" s="28"/>
      <x:c r="B141" s="41"/>
      <x:c r="C141" s="28"/>
      <x:c r="D141" s="28"/>
      <x:c r="E141" s="28"/>
      <x:c r="F141" s="41"/>
      <x:c r="G141" s="3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</x:row>
    <x:row r="142">
      <x:c r="A142" s="28"/>
      <x:c r="B142" s="41"/>
      <x:c r="C142" s="28"/>
      <x:c r="D142" s="28"/>
      <x:c r="E142" s="28"/>
      <x:c r="F142" s="41"/>
      <x:c r="G142" s="3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</x:row>
    <x:row r="143">
      <x:c r="A143" s="28"/>
      <x:c r="B143" s="41"/>
      <x:c r="C143" s="28"/>
      <x:c r="D143" s="28"/>
      <x:c r="E143" s="28"/>
      <x:c r="F143" s="41"/>
      <x:c r="G143" s="3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</x:row>
    <x:row r="144">
      <x:c r="A144" s="28"/>
      <x:c r="B144" s="41"/>
      <x:c r="C144" s="28"/>
      <x:c r="D144" s="28"/>
      <x:c r="E144" s="28"/>
      <x:c r="F144" s="41"/>
      <x:c r="G144" s="3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</x:row>
    <x:row r="145">
      <x:c r="A145" s="28"/>
      <x:c r="B145" s="41"/>
      <x:c r="C145" s="28"/>
      <x:c r="D145" s="28"/>
      <x:c r="E145" s="28"/>
      <x:c r="F145" s="41"/>
      <x:c r="G145" s="3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</x:row>
    <x:row r="146">
      <x:c r="A146" s="28"/>
      <x:c r="B146" s="41"/>
      <x:c r="C146" s="28"/>
      <x:c r="D146" s="28"/>
      <x:c r="E146" s="28"/>
      <x:c r="F146" s="41"/>
      <x:c r="G146" s="3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</x:row>
    <x:row r="147">
      <x:c r="A147" s="28"/>
      <x:c r="B147" s="41"/>
      <x:c r="C147" s="28"/>
      <x:c r="D147" s="28"/>
      <x:c r="E147" s="28"/>
      <x:c r="F147" s="41"/>
      <x:c r="G147" s="3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</x:row>
    <x:row r="148">
      <x:c r="A148" s="28"/>
      <x:c r="B148" s="41"/>
      <x:c r="C148" s="28"/>
      <x:c r="D148" s="28"/>
      <x:c r="E148" s="28"/>
      <x:c r="F148" s="41"/>
      <x:c r="G148" s="3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</x:row>
    <x:row r="149">
      <x:c r="A149" s="28"/>
      <x:c r="B149" s="41"/>
      <x:c r="C149" s="28"/>
      <x:c r="D149" s="28"/>
      <x:c r="E149" s="28"/>
      <x:c r="F149" s="41"/>
      <x:c r="G149" s="3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</x:row>
    <x:row r="150">
      <x:c r="A150" s="28"/>
      <x:c r="B150" s="41"/>
      <x:c r="C150" s="28"/>
      <x:c r="D150" s="28"/>
      <x:c r="E150" s="28"/>
      <x:c r="F150" s="41"/>
      <x:c r="G150" s="3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</x:row>
    <x:row r="151">
      <x:c r="A151" s="28"/>
      <x:c r="B151" s="41"/>
      <x:c r="C151" s="28"/>
      <x:c r="D151" s="28"/>
      <x:c r="E151" s="28"/>
      <x:c r="F151" s="41"/>
      <x:c r="G151" s="3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</x:row>
    <x:row r="152">
      <x:c r="A152" s="28"/>
      <x:c r="B152" s="41"/>
      <x:c r="C152" s="28"/>
      <x:c r="D152" s="28"/>
      <x:c r="E152" s="28"/>
      <x:c r="F152" s="41"/>
      <x:c r="G152" s="3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</x:row>
    <x:row r="153">
      <x:c r="A153" s="28"/>
      <x:c r="B153" s="41"/>
      <x:c r="C153" s="28"/>
      <x:c r="D153" s="28"/>
      <x:c r="E153" s="28"/>
      <x:c r="F153" s="41"/>
      <x:c r="G153" s="3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</x:row>
    <x:row r="154">
      <x:c r="A154" s="28"/>
      <x:c r="B154" s="41"/>
      <x:c r="C154" s="28"/>
      <x:c r="D154" s="28"/>
      <x:c r="E154" s="28"/>
      <x:c r="F154" s="41"/>
      <x:c r="G154" s="3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</x:row>
    <x:row r="155">
      <x:c r="A155" s="28"/>
      <x:c r="B155" s="41"/>
      <x:c r="C155" s="28"/>
      <x:c r="D155" s="28"/>
      <x:c r="E155" s="28"/>
      <x:c r="F155" s="41"/>
      <x:c r="G155" s="3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</x:row>
    <x:row r="156">
      <x:c r="A156" s="28"/>
      <x:c r="B156" s="41"/>
      <x:c r="C156" s="28"/>
      <x:c r="D156" s="28"/>
      <x:c r="E156" s="28"/>
      <x:c r="F156" s="41"/>
      <x:c r="G156" s="3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</x:row>
    <x:row r="157">
      <x:c r="A157" s="28"/>
      <x:c r="B157" s="41"/>
      <x:c r="C157" s="28"/>
      <x:c r="D157" s="28"/>
      <x:c r="E157" s="28"/>
      <x:c r="F157" s="41"/>
      <x:c r="G157" s="3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</x:row>
    <x:row r="158">
      <x:c r="A158" s="28"/>
      <x:c r="B158" s="41"/>
      <x:c r="C158" s="28"/>
      <x:c r="D158" s="28"/>
      <x:c r="E158" s="28"/>
      <x:c r="F158" s="41"/>
      <x:c r="G158" s="3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</x:row>
    <x:row r="159">
      <x:c r="A159" s="28"/>
      <x:c r="B159" s="41"/>
      <x:c r="C159" s="28"/>
      <x:c r="D159" s="28"/>
      <x:c r="E159" s="28"/>
      <x:c r="F159" s="41"/>
      <x:c r="G159" s="3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</x:row>
    <x:row r="160">
      <x:c r="A160" s="28"/>
      <x:c r="B160" s="41"/>
      <x:c r="C160" s="28"/>
      <x:c r="D160" s="28"/>
      <x:c r="E160" s="28"/>
      <x:c r="F160" s="41"/>
      <x:c r="G160" s="3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</x:row>
    <x:row r="161">
      <x:c r="A161" s="28"/>
      <x:c r="B161" s="41"/>
      <x:c r="C161" s="28"/>
      <x:c r="D161" s="28"/>
      <x:c r="E161" s="28"/>
      <x:c r="F161" s="41"/>
      <x:c r="G161" s="3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</x:row>
    <x:row r="162">
      <x:c r="A162" s="28"/>
      <x:c r="B162" s="41"/>
      <x:c r="C162" s="28"/>
      <x:c r="D162" s="28"/>
      <x:c r="E162" s="28"/>
      <x:c r="F162" s="41"/>
      <x:c r="G162" s="3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</x:row>
    <x:row r="163">
      <x:c r="A163" s="28"/>
      <x:c r="B163" s="41"/>
      <x:c r="C163" s="28"/>
      <x:c r="D163" s="28"/>
      <x:c r="E163" s="28"/>
      <x:c r="F163" s="41"/>
      <x:c r="G163" s="3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</x:row>
    <x:row r="164">
      <x:c r="A164" s="28"/>
      <x:c r="B164" s="41"/>
      <x:c r="C164" s="28"/>
      <x:c r="D164" s="28"/>
      <x:c r="E164" s="28"/>
      <x:c r="F164" s="41"/>
      <x:c r="G164" s="3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</x:row>
    <x:row r="165">
      <x:c r="A165" s="28"/>
      <x:c r="B165" s="41"/>
      <x:c r="C165" s="28"/>
      <x:c r="D165" s="28"/>
      <x:c r="E165" s="28"/>
      <x:c r="F165" s="41"/>
      <x:c r="G165" s="3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</x:row>
    <x:row r="166">
      <x:c r="A166" s="28"/>
      <x:c r="B166" s="41"/>
      <x:c r="C166" s="28"/>
      <x:c r="D166" s="28"/>
      <x:c r="E166" s="28"/>
      <x:c r="F166" s="41"/>
      <x:c r="G166" s="3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</x:row>
    <x:row r="167">
      <x:c r="A167" s="28"/>
      <x:c r="B167" s="41"/>
      <x:c r="C167" s="28"/>
      <x:c r="D167" s="28"/>
      <x:c r="E167" s="28"/>
      <x:c r="F167" s="41"/>
      <x:c r="G167" s="3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</x:row>
    <x:row r="168">
      <x:c r="A168" s="28"/>
      <x:c r="B168" s="41"/>
      <x:c r="C168" s="28"/>
      <x:c r="D168" s="28"/>
      <x:c r="E168" s="28"/>
      <x:c r="F168" s="41"/>
      <x:c r="G168" s="3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</x:row>
    <x:row r="169">
      <x:c r="A169" s="28"/>
      <x:c r="B169" s="41"/>
      <x:c r="C169" s="28"/>
      <x:c r="D169" s="28"/>
      <x:c r="E169" s="28"/>
      <x:c r="F169" s="41"/>
      <x:c r="G169" s="3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</x:row>
    <x:row r="170">
      <x:c r="A170" s="28"/>
      <x:c r="B170" s="41"/>
      <x:c r="C170" s="28"/>
      <x:c r="D170" s="28"/>
      <x:c r="E170" s="28"/>
      <x:c r="F170" s="41"/>
      <x:c r="G170" s="3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</x:row>
    <x:row r="171">
      <x:c r="A171" s="28"/>
      <x:c r="B171" s="41"/>
      <x:c r="C171" s="28"/>
      <x:c r="D171" s="28"/>
      <x:c r="E171" s="28"/>
      <x:c r="F171" s="41"/>
      <x:c r="G171" s="3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</x:row>
    <x:row r="172">
      <x:c r="A172" s="28"/>
      <x:c r="B172" s="41"/>
      <x:c r="C172" s="28"/>
      <x:c r="D172" s="28"/>
      <x:c r="E172" s="28"/>
      <x:c r="F172" s="41"/>
      <x:c r="G172" s="3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</x:row>
    <x:row r="173">
      <x:c r="A173" s="28"/>
      <x:c r="B173" s="41"/>
      <x:c r="C173" s="28"/>
      <x:c r="D173" s="28"/>
      <x:c r="E173" s="28"/>
      <x:c r="F173" s="41"/>
      <x:c r="G173" s="3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</x:row>
    <x:row r="174">
      <x:c r="A174" s="28"/>
      <x:c r="B174" s="41"/>
      <x:c r="C174" s="28"/>
      <x:c r="D174" s="28"/>
      <x:c r="E174" s="28"/>
      <x:c r="F174" s="41"/>
      <x:c r="G174" s="3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</x:row>
    <x:row r="175">
      <x:c r="A175" s="28"/>
      <x:c r="B175" s="41"/>
      <x:c r="C175" s="28"/>
      <x:c r="D175" s="28"/>
      <x:c r="E175" s="28"/>
      <x:c r="F175" s="41"/>
      <x:c r="G175" s="3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</x:row>
    <x:row r="176">
      <x:c r="A176" s="28"/>
      <x:c r="B176" s="41"/>
      <x:c r="C176" s="28"/>
      <x:c r="D176" s="28"/>
      <x:c r="E176" s="28"/>
      <x:c r="F176" s="41"/>
      <x:c r="G176" s="3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</x:row>
    <x:row r="177">
      <x:c r="A177" s="28"/>
      <x:c r="B177" s="41"/>
      <x:c r="C177" s="28"/>
      <x:c r="D177" s="28"/>
      <x:c r="E177" s="28"/>
      <x:c r="F177" s="41"/>
      <x:c r="G177" s="3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</x:row>
    <x:row r="178">
      <x:c r="A178" s="28"/>
      <x:c r="B178" s="41"/>
      <x:c r="C178" s="28"/>
      <x:c r="D178" s="28"/>
      <x:c r="E178" s="28"/>
      <x:c r="F178" s="41"/>
      <x:c r="G178" s="3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</x:row>
    <x:row r="179">
      <x:c r="A179" s="28"/>
      <x:c r="B179" s="41"/>
      <x:c r="C179" s="28"/>
      <x:c r="D179" s="28"/>
      <x:c r="E179" s="28"/>
      <x:c r="F179" s="41"/>
      <x:c r="G179" s="3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</x:row>
    <x:row r="180">
      <x:c r="A180" s="28"/>
      <x:c r="B180" s="41"/>
      <x:c r="C180" s="28"/>
      <x:c r="D180" s="28"/>
      <x:c r="E180" s="28"/>
      <x:c r="F180" s="41"/>
      <x:c r="G180" s="3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</x:row>
    <x:row r="181">
      <x:c r="A181" s="28"/>
      <x:c r="B181" s="41"/>
      <x:c r="C181" s="28"/>
      <x:c r="D181" s="28"/>
      <x:c r="E181" s="28"/>
      <x:c r="F181" s="41"/>
      <x:c r="G181" s="3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</x:row>
    <x:row r="182">
      <x:c r="A182" s="28"/>
      <x:c r="B182" s="41"/>
      <x:c r="C182" s="28"/>
      <x:c r="D182" s="28"/>
      <x:c r="E182" s="28"/>
      <x:c r="F182" s="41"/>
      <x:c r="G182" s="3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</x:row>
    <x:row r="183">
      <x:c r="A183" s="28"/>
      <x:c r="B183" s="41"/>
      <x:c r="C183" s="28"/>
      <x:c r="D183" s="28"/>
      <x:c r="E183" s="28"/>
      <x:c r="F183" s="41"/>
      <x:c r="G183" s="3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</x:row>
    <x:row r="184">
      <x:c r="A184" s="28"/>
      <x:c r="B184" s="41"/>
      <x:c r="C184" s="28"/>
      <x:c r="D184" s="28"/>
      <x:c r="E184" s="28"/>
      <x:c r="F184" s="41"/>
      <x:c r="G184" s="3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</x:row>
    <x:row r="185">
      <x:c r="A185" s="28"/>
      <x:c r="B185" s="41"/>
      <x:c r="C185" s="28"/>
      <x:c r="D185" s="28"/>
      <x:c r="E185" s="28"/>
      <x:c r="F185" s="41"/>
      <x:c r="G185" s="3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</x:row>
    <x:row r="186">
      <x:c r="A186" s="28"/>
      <x:c r="B186" s="41"/>
      <x:c r="C186" s="28"/>
      <x:c r="D186" s="28"/>
      <x:c r="E186" s="28"/>
      <x:c r="F186" s="41"/>
      <x:c r="G186" s="3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</x:row>
    <x:row r="187">
      <x:c r="A187" s="28"/>
      <x:c r="B187" s="41"/>
      <x:c r="C187" s="28"/>
      <x:c r="D187" s="28"/>
      <x:c r="E187" s="28"/>
      <x:c r="F187" s="41"/>
      <x:c r="G187" s="3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</x:row>
    <x:row r="188">
      <x:c r="A188" s="28"/>
      <x:c r="B188" s="41"/>
      <x:c r="C188" s="28"/>
      <x:c r="D188" s="28"/>
      <x:c r="E188" s="28"/>
      <x:c r="F188" s="41"/>
      <x:c r="G188" s="3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</x:row>
    <x:row r="189">
      <x:c r="A189" s="28"/>
      <x:c r="B189" s="41"/>
      <x:c r="C189" s="28"/>
      <x:c r="D189" s="28"/>
      <x:c r="E189" s="28"/>
      <x:c r="F189" s="41"/>
      <x:c r="G189" s="3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</x:row>
    <x:row r="190">
      <x:c r="A190" s="28"/>
      <x:c r="B190" s="41"/>
      <x:c r="C190" s="28"/>
      <x:c r="D190" s="28"/>
      <x:c r="E190" s="28"/>
      <x:c r="F190" s="41"/>
      <x:c r="G190" s="3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</x:row>
    <x:row r="191">
      <x:c r="A191" s="28"/>
      <x:c r="B191" s="41"/>
      <x:c r="C191" s="28"/>
      <x:c r="D191" s="28"/>
      <x:c r="E191" s="28"/>
      <x:c r="F191" s="41"/>
      <x:c r="G191" s="3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</x:row>
    <x:row r="192">
      <x:c r="A192" s="28"/>
      <x:c r="B192" s="41"/>
      <x:c r="C192" s="28"/>
      <x:c r="D192" s="28"/>
      <x:c r="E192" s="28"/>
      <x:c r="F192" s="41"/>
      <x:c r="G192" s="3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</x:row>
    <x:row r="193">
      <x:c r="A193" s="28"/>
      <x:c r="B193" s="41"/>
      <x:c r="C193" s="28"/>
      <x:c r="D193" s="28"/>
      <x:c r="E193" s="28"/>
      <x:c r="F193" s="41"/>
      <x:c r="G193" s="3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</x:row>
    <x:row r="194">
      <x:c r="A194" s="28"/>
      <x:c r="B194" s="41"/>
      <x:c r="C194" s="28"/>
      <x:c r="D194" s="28"/>
      <x:c r="E194" s="28"/>
      <x:c r="F194" s="41"/>
      <x:c r="G194" s="3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</x:row>
    <x:row r="195">
      <x:c r="A195" s="28"/>
      <x:c r="B195" s="41"/>
      <x:c r="C195" s="28"/>
      <x:c r="D195" s="28"/>
      <x:c r="E195" s="28"/>
      <x:c r="F195" s="41"/>
      <x:c r="G195" s="3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</x:row>
    <x:row r="196">
      <x:c r="A196" s="28"/>
      <x:c r="B196" s="41"/>
      <x:c r="C196" s="28"/>
      <x:c r="D196" s="28"/>
      <x:c r="E196" s="28"/>
      <x:c r="F196" s="41"/>
      <x:c r="G196" s="3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</x:row>
    <x:row r="197">
      <x:c r="A197" s="28"/>
      <x:c r="B197" s="41"/>
      <x:c r="C197" s="28"/>
      <x:c r="D197" s="28"/>
      <x:c r="E197" s="28"/>
      <x:c r="F197" s="41"/>
      <x:c r="G197" s="3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</x:row>
    <x:row r="198">
      <x:c r="A198" s="28"/>
      <x:c r="B198" s="41"/>
      <x:c r="C198" s="28"/>
      <x:c r="D198" s="28"/>
      <x:c r="E198" s="28"/>
      <x:c r="F198" s="41"/>
      <x:c r="G198" s="3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</x:row>
    <x:row r="199">
      <x:c r="A199" s="28"/>
      <x:c r="B199" s="41"/>
      <x:c r="C199" s="28"/>
      <x:c r="D199" s="28"/>
      <x:c r="E199" s="28"/>
      <x:c r="F199" s="41"/>
      <x:c r="G199" s="3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</x:row>
    <x:row r="200">
      <x:c r="A200" s="28"/>
      <x:c r="B200" s="41"/>
      <x:c r="C200" s="28"/>
      <x:c r="D200" s="28"/>
      <x:c r="E200" s="28"/>
      <x:c r="F200" s="41"/>
      <x:c r="G200" s="3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</x:row>
    <x:row r="201">
      <x:c r="A201" s="28"/>
      <x:c r="B201" s="41"/>
      <x:c r="C201" s="28"/>
      <x:c r="D201" s="28"/>
      <x:c r="E201" s="28"/>
      <x:c r="F201" s="41"/>
      <x:c r="G201" s="31"/>
      <x:c r="H201" s="1"/>
      <x:c r="I201" s="1"/>
      <x:c r="J201" s="1"/>
      <x:c r="K201" s="1"/>
      <x:c r="L201" s="1"/>
      <x:c r="M201" s="1"/>
      <x:c r="N201" s="1"/>
      <x:c r="O201" s="1"/>
      <x:c r="P201" s="1"/>
      <x:c r="Q201" s="1"/>
      <x:c r="R201" s="1"/>
      <x:c r="S201" s="1"/>
      <x:c r="T201" s="1"/>
      <x:c r="U201" s="1"/>
      <x:c r="V201" s="1"/>
      <x:c r="W201" s="1"/>
    </x:row>
    <x:row r="202">
      <x:c r="A202" s="28"/>
      <x:c r="B202" s="41"/>
      <x:c r="C202" s="28"/>
      <x:c r="D202" s="28"/>
      <x:c r="E202" s="28"/>
      <x:c r="F202" s="41"/>
      <x:c r="G202" s="3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  <x:c r="R202" s="1"/>
      <x:c r="S202" s="1"/>
      <x:c r="T202" s="1"/>
      <x:c r="U202" s="1"/>
      <x:c r="V202" s="1"/>
      <x:c r="W202" s="1"/>
    </x:row>
    <x:row r="203">
      <x:c r="A203" s="28"/>
      <x:c r="B203" s="41"/>
      <x:c r="C203" s="28"/>
      <x:c r="D203" s="28"/>
      <x:c r="E203" s="28"/>
      <x:c r="F203" s="41"/>
      <x:c r="G203" s="31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  <x:c r="R203" s="1"/>
      <x:c r="S203" s="1"/>
      <x:c r="T203" s="1"/>
      <x:c r="U203" s="1"/>
      <x:c r="V203" s="1"/>
      <x:c r="W203" s="1"/>
    </x:row>
    <x:row r="204">
      <x:c r="A204" s="29"/>
      <x:c r="B204" s="59"/>
      <x:c r="C204" s="29"/>
      <x:c r="D204" s="29"/>
      <x:c r="E204" s="29"/>
      <x:c r="F204" s="59"/>
      <x:c r="G204" s="32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  <x:c r="R204" s="1"/>
      <x:c r="S204" s="1"/>
      <x:c r="T204" s="1"/>
      <x:c r="U204" s="1"/>
      <x:c r="V204" s="1"/>
      <x:c r="W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</x:row>
  </x:sheetData>
  <x:mergeCells>
    <x:mergeCell ref="A1:G1"/>
    <x:mergeCell ref="A2:G2"/>
  </x:mergeCells>
  <x:dataValidations count="2">
    <x:dataValidation type="list" sqref="A5:A204">
      <x:formula1>Chamados!$A$5:$A$204</x:formula1>
    </x:dataValidation>
    <x:dataValidation type="list" sqref="C5:C204">
      <x:formula1>Equipe!$A$5:$A$12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ee16bc41288440c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3" hidden="0" customWidth="1"/>
    <x:col min="2" max="2" width="20" hidden="0" customWidth="1"/>
    <x:col min="3" max="3" width="16" hidden="0" customWidth="1"/>
    <x:col min="4" max="4" width="14" hidden="0" customWidth="1"/>
    <x:col min="5" max="5" width="14" hidden="0" customWidth="1"/>
    <x:col min="6" max="6" width="18" hidden="0" customWidth="1"/>
    <x:col min="7" max="7" width="16" hidden="0" customWidth="1"/>
    <x:col min="8" max="8" width="20" hidden="0" customWidth="1"/>
  </x:cols>
  <x:sheetData>
    <x:row r="1" ht="34" customHeight="1">
      <x:c r="A1" s="4" t="str">
        <x:v>CAPACIDADE DA EQUIPE</x:v>
      </x:c>
      <x:c r="B1" s="4" t="str">
        <x:v>CAPACIDADE DA EQUIPE</x:v>
      </x:c>
      <x:c r="C1" s="4" t="str">
        <x:v>CAPACIDADE DA EQUIPE</x:v>
      </x:c>
      <x:c r="D1" s="4" t="str">
        <x:v>CAPACIDADE DA EQUIPE</x:v>
      </x:c>
      <x:c r="E1" s="4" t="str">
        <x:v>CAPACIDADE DA EQUIPE</x:v>
      </x:c>
      <x:c r="F1" s="4" t="str">
        <x:v>CAPACIDADE DA EQUIPE</x:v>
      </x:c>
      <x:c r="G1" s="4" t="str">
        <x:v>CAPACIDADE DA EQUIPE</x:v>
      </x:c>
      <x:c r="H1" s="4" t="str">
        <x:v>CAPACIDADE DA EQUIPE</x:v>
      </x:c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8" customHeight="1">
      <x:c r="A2" s="8" t="str">
        <x:v>Compare chamados em aberto com a capacidade definida para identificar sobrecarga e redistribuição necessária.</x:v>
      </x:c>
      <x:c r="B2" s="8" t="str">
        <x:v>Compare chamados em aberto com a capacidade definida para identificar sobrecarga e redistribuição necessária.</x:v>
      </x:c>
      <x:c r="C2" s="8" t="str">
        <x:v>Compare chamados em aberto com a capacidade definida para identificar sobrecarga e redistribuição necessária.</x:v>
      </x:c>
      <x:c r="D2" s="8" t="str">
        <x:v>Compare chamados em aberto com a capacidade definida para identificar sobrecarga e redistribuição necessária.</x:v>
      </x:c>
      <x:c r="E2" s="8" t="str">
        <x:v>Compare chamados em aberto com a capacidade definida para identificar sobrecarga e redistribuição necessária.</x:v>
      </x:c>
      <x:c r="F2" s="8" t="str">
        <x:v>Compare chamados em aberto com a capacidade definida para identificar sobrecarga e redistribuição necessária.</x:v>
      </x:c>
      <x:c r="G2" s="8" t="str">
        <x:v>Compare chamados em aberto com a capacidade definida para identificar sobrecarga e redistribuição necessária.</x:v>
      </x:c>
      <x:c r="H2" s="8" t="str">
        <x:v>Compare chamados em aberto com a capacidade definida para identificar sobrecarga e redistribuição necessária.</x:v>
      </x:c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42" customHeight="1">
      <x:c r="A4" s="22" t="str">
        <x:v>Responsável</x:v>
      </x:c>
      <x:c r="B4" s="23" t="str">
        <x:v>Função</x:v>
      </x:c>
      <x:c r="C4" s="23" t="str">
        <x:v>Capacidade</x:v>
      </x:c>
      <x:c r="D4" s="23" t="str">
        <x:v>Abertos</x:v>
      </x:c>
      <x:c r="E4" s="23" t="str">
        <x:v>Críticos</x:v>
      </x:c>
      <x:c r="F4" s="23" t="str">
        <x:v>SLA atrasado</x:v>
      </x:c>
      <x:c r="G4" s="23" t="str">
        <x:v>Utilização</x:v>
      </x:c>
      <x:c r="H4" s="24" t="str">
        <x:v>Situação</x:v>
      </x:c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>
      <x:c r="A5" s="27" t="str">
        <x:v>Ana Lima</x:v>
      </x:c>
      <x:c r="B5" s="27" t="str">
        <x:v>Analista N2</x:v>
      </x:c>
      <x:c r="C5" s="27" t="n">
        <x:v>5</x:v>
      </x:c>
      <x:c r="D5" s="50" t="n">
        <x:f>IF(A5="","",COUNTIFS(Chamados!$I$5:$I$204,A5,Chamados!$AD$5:$AD$204,1,Chamados!$J$5:$J$204,"&lt;&gt;Fechado",Chamados!$J$5:$J$204,"&lt;&gt;Resolvido",Chamados!$J$5:$J$204,"&lt;&gt;Cancelado"))</x:f>
        <x:v>1</x:v>
      </x:c>
      <x:c r="E5" s="50" t="n">
        <x:f>IF(A5="","",COUNTIFS(Chamados!$I$5:$I$204,A5,Chamados!$AD$5:$AD$204,1,Chamados!$H$5:$H$204,"Crítica",Chamados!$J$5:$J$204,"&lt;&gt;Fechado",Chamados!$J$5:$J$204,"&lt;&gt;Resolvido",Chamados!$J$5:$J$204,"&lt;&gt;Cancelado"))</x:f>
        <x:v>1</x:v>
      </x:c>
      <x:c r="F5" s="50" t="n">
        <x:f>IF(A5="","",COUNTIFS(Chamados!$I$5:$I$204,A5,Chamados!$P$5:$P$204,"ATRASADO",Chamados!$J$5:$J$204,"&lt;&gt;Fechado",Chamados!$J$5:$J$204,"&lt;&gt;Resolvido",Chamados!$J$5:$J$204,"&lt;&gt;Cancelado"))</x:f>
        <x:v>1</x:v>
      </x:c>
      <x:c r="G5" s="66" t="n">
        <x:f>IF(A5="","",IF(OR(NOT(ISNUMBER(C5)),C5&lt;=0),"n.a.",D5/C5))</x:f>
        <x:v>0.2</x:v>
      </x:c>
      <x:c r="H5" s="50" t="str">
        <x:f>IF(A5="","",IF(OR(NOT(ISNUMBER(C5)),C5&lt;0),"CORRIGIR CAPACIDADE",IF(C5=0,IF(D5&gt;0,"SEM CAPACIDADE","SEM DEMANDA"),IF(D5&gt;C5,"REDISTRIBUIR",IF(F5&gt;0,"ATUAR SLA","OK")))))</x:f>
        <x:v>ATUAR SLA</x:v>
      </x:c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>
      <x:c r="A6" s="28" t="str">
        <x:v>Bruno Reis</x:v>
      </x:c>
      <x:c r="B6" s="28" t="str">
        <x:v>Analista N1</x:v>
      </x:c>
      <x:c r="C6" s="28" t="n">
        <x:v>6</x:v>
      </x:c>
      <x:c r="D6" s="55" t="n">
        <x:f>IF(A6="","",COUNTIFS(Chamados!$I$5:$I$204,A6,Chamados!$AD$5:$AD$204,1,Chamados!$J$5:$J$204,"&lt;&gt;Fechado",Chamados!$J$5:$J$204,"&lt;&gt;Resolvido",Chamados!$J$5:$J$204,"&lt;&gt;Cancelado"))</x:f>
        <x:v>2</x:v>
      </x:c>
      <x:c r="E6" s="55" t="n">
        <x:f>IF(A6="","",COUNTIFS(Chamados!$I$5:$I$204,A6,Chamados!$AD$5:$AD$204,1,Chamados!$H$5:$H$204,"Crítica",Chamados!$J$5:$J$204,"&lt;&gt;Fechado",Chamados!$J$5:$J$204,"&lt;&gt;Resolvido",Chamados!$J$5:$J$204,"&lt;&gt;Cancelado"))</x:f>
        <x:v>0</x:v>
      </x:c>
      <x:c r="F6" s="55" t="n">
        <x:f>IF(A6="","",COUNTIFS(Chamados!$I$5:$I$204,A6,Chamados!$P$5:$P$204,"ATRASADO",Chamados!$J$5:$J$204,"&lt;&gt;Fechado",Chamados!$J$5:$J$204,"&lt;&gt;Resolvido",Chamados!$J$5:$J$204,"&lt;&gt;Cancelado"))</x:f>
        <x:v>1</x:v>
      </x:c>
      <x:c r="G6" s="67" t="n">
        <x:f>IF(A6="","",IF(OR(NOT(ISNUMBER(C6)),C6&lt;=0),"n.a.",D6/C6))</x:f>
        <x:v>0.3333333333333333</x:v>
      </x:c>
      <x:c r="H6" s="55" t="str">
        <x:f>IF(A6="","",IF(OR(NOT(ISNUMBER(C6)),C6&lt;0),"CORRIGIR CAPACIDADE",IF(C6=0,IF(D6&gt;0,"SEM CAPACIDADE","SEM DEMANDA"),IF(D6&gt;C6,"REDISTRIBUIR",IF(F6&gt;0,"ATUAR SLA","OK")))))</x:f>
        <x:v>ATUAR SLA</x:v>
      </x:c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</x:row>
    <x:row r="7">
      <x:c r="A7" s="28" t="str">
        <x:v>Carla Souza</x:v>
      </x:c>
      <x:c r="B7" s="28" t="str">
        <x:v>Analista N2</x:v>
      </x:c>
      <x:c r="C7" s="28" t="n">
        <x:v>5</x:v>
      </x:c>
      <x:c r="D7" s="55" t="n">
        <x:f>IF(A7="","",COUNTIFS(Chamados!$I$5:$I$204,A7,Chamados!$AD$5:$AD$204,1,Chamados!$J$5:$J$204,"&lt;&gt;Fechado",Chamados!$J$5:$J$204,"&lt;&gt;Resolvido",Chamados!$J$5:$J$204,"&lt;&gt;Cancelado"))</x:f>
        <x:v>1</x:v>
      </x:c>
      <x:c r="E7" s="55" t="n">
        <x:f>IF(A7="","",COUNTIFS(Chamados!$I$5:$I$204,A7,Chamados!$AD$5:$AD$204,1,Chamados!$H$5:$H$204,"Crítica",Chamados!$J$5:$J$204,"&lt;&gt;Fechado",Chamados!$J$5:$J$204,"&lt;&gt;Resolvido",Chamados!$J$5:$J$204,"&lt;&gt;Cancelado"))</x:f>
        <x:v>1</x:v>
      </x:c>
      <x:c r="F7" s="55" t="n">
        <x:f>IF(A7="","",COUNTIFS(Chamados!$I$5:$I$204,A7,Chamados!$P$5:$P$204,"ATRASADO",Chamados!$J$5:$J$204,"&lt;&gt;Fechado",Chamados!$J$5:$J$204,"&lt;&gt;Resolvido",Chamados!$J$5:$J$204,"&lt;&gt;Cancelado"))</x:f>
        <x:v>0</x:v>
      </x:c>
      <x:c r="G7" s="67" t="n">
        <x:f>IF(A7="","",IF(OR(NOT(ISNUMBER(C7)),C7&lt;=0),"n.a.",D7/C7))</x:f>
        <x:v>0.2</x:v>
      </x:c>
      <x:c r="H7" s="55" t="str">
        <x:f>IF(A7="","",IF(OR(NOT(ISNUMBER(C7)),C7&lt;0),"CORRIGIR CAPACIDADE",IF(C7=0,IF(D7&gt;0,"SEM CAPACIDADE","SEM DEMANDA"),IF(D7&gt;C7,"REDISTRIBUIR",IF(F7&gt;0,"ATUAR SLA","OK")))))</x:f>
        <x:v>OK</x:v>
      </x:c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</x:row>
    <x:row r="8">
      <x:c r="A8" s="28" t="str">
        <x:v>Diego Martins</x:v>
      </x:c>
      <x:c r="B8" s="28" t="str">
        <x:v>Analista N1</x:v>
      </x:c>
      <x:c r="C8" s="28" t="n">
        <x:v>6</x:v>
      </x:c>
      <x:c r="D8" s="55" t="n">
        <x:f>IF(A8="","",COUNTIFS(Chamados!$I$5:$I$204,A8,Chamados!$AD$5:$AD$204,1,Chamados!$J$5:$J$204,"&lt;&gt;Fechado",Chamados!$J$5:$J$204,"&lt;&gt;Resolvido",Chamados!$J$5:$J$204,"&lt;&gt;Cancelado"))</x:f>
        <x:v>1</x:v>
      </x:c>
      <x:c r="E8" s="55" t="n">
        <x:f>IF(A8="","",COUNTIFS(Chamados!$I$5:$I$204,A8,Chamados!$AD$5:$AD$204,1,Chamados!$H$5:$H$204,"Crítica",Chamados!$J$5:$J$204,"&lt;&gt;Fechado",Chamados!$J$5:$J$204,"&lt;&gt;Resolvido",Chamados!$J$5:$J$204,"&lt;&gt;Cancelado"))</x:f>
        <x:v>0</x:v>
      </x:c>
      <x:c r="F8" s="55" t="n">
        <x:f>IF(A8="","",COUNTIFS(Chamados!$I$5:$I$204,A8,Chamados!$P$5:$P$204,"ATRASADO",Chamados!$J$5:$J$204,"&lt;&gt;Fechado",Chamados!$J$5:$J$204,"&lt;&gt;Resolvido",Chamados!$J$5:$J$204,"&lt;&gt;Cancelado"))</x:f>
        <x:v>0</x:v>
      </x:c>
      <x:c r="G8" s="67" t="n">
        <x:f>IF(A8="","",IF(OR(NOT(ISNUMBER(C8)),C8&lt;=0),"n.a.",D8/C8))</x:f>
        <x:v>0.16666666666666666</x:v>
      </x:c>
      <x:c r="H8" s="55" t="str">
        <x:f>IF(A8="","",IF(OR(NOT(ISNUMBER(C8)),C8&lt;0),"CORRIGIR CAPACIDADE",IF(C8=0,IF(D8&gt;0,"SEM CAPACIDADE","SEM DEMANDA"),IF(D8&gt;C8,"REDISTRIBUIR",IF(F8&gt;0,"ATUAR SLA","OK")))))</x:f>
        <x:v>OK</x:v>
      </x:c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</x:row>
    <x:row r="9">
      <x:c r="A9" s="28"/>
      <x:c r="B9" s="28"/>
      <x:c r="C9" s="28"/>
      <x:c r="D9" s="55" t="str">
        <x:f>IF(A9="","",COUNTIFS(Chamados!$I$5:$I$204,A9,Chamados!$AD$5:$AD$204,1,Chamados!$J$5:$J$204,"&lt;&gt;Fechado",Chamados!$J$5:$J$204,"&lt;&gt;Resolvido",Chamados!$J$5:$J$204,"&lt;&gt;Cancelado"))</x:f>
      </x:c>
      <x:c r="E9" s="55" t="str">
        <x:f>IF(A9="","",COUNTIFS(Chamados!$I$5:$I$204,A9,Chamados!$AD$5:$AD$204,1,Chamados!$H$5:$H$204,"Crítica",Chamados!$J$5:$J$204,"&lt;&gt;Fechado",Chamados!$J$5:$J$204,"&lt;&gt;Resolvido",Chamados!$J$5:$J$204,"&lt;&gt;Cancelado"))</x:f>
      </x:c>
      <x:c r="F9" s="55" t="str">
        <x:f>IF(A9="","",COUNTIFS(Chamados!$I$5:$I$204,A9,Chamados!$P$5:$P$204,"ATRASADO",Chamados!$J$5:$J$204,"&lt;&gt;Fechado",Chamados!$J$5:$J$204,"&lt;&gt;Resolvido",Chamados!$J$5:$J$204,"&lt;&gt;Cancelado"))</x:f>
      </x:c>
      <x:c r="G9" s="67" t="str">
        <x:f>IF(A9="","",IF(OR(NOT(ISNUMBER(C9)),C9&lt;=0),"n.a.",D9/C9))</x:f>
      </x:c>
      <x:c r="H9" s="55" t="str">
        <x:f>IF(A9="","",IF(OR(NOT(ISNUMBER(C9)),C9&lt;0),"CORRIGIR CAPACIDADE",IF(C9=0,IF(D9&gt;0,"SEM CAPACIDADE","SEM DEMANDA"),IF(D9&gt;C9,"REDISTRIBUIR",IF(F9&gt;0,"ATUAR SLA","OK")))))</x:f>
      </x:c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</x:row>
    <x:row r="10">
      <x:c r="A10" s="28"/>
      <x:c r="B10" s="28"/>
      <x:c r="C10" s="28"/>
      <x:c r="D10" s="55" t="str">
        <x:f>IF(A10="","",COUNTIFS(Chamados!$I$5:$I$204,A10,Chamados!$AD$5:$AD$204,1,Chamados!$J$5:$J$204,"&lt;&gt;Fechado",Chamados!$J$5:$J$204,"&lt;&gt;Resolvido",Chamados!$J$5:$J$204,"&lt;&gt;Cancelado"))</x:f>
      </x:c>
      <x:c r="E10" s="55" t="str">
        <x:f>IF(A10="","",COUNTIFS(Chamados!$I$5:$I$204,A10,Chamados!$AD$5:$AD$204,1,Chamados!$H$5:$H$204,"Crítica",Chamados!$J$5:$J$204,"&lt;&gt;Fechado",Chamados!$J$5:$J$204,"&lt;&gt;Resolvido",Chamados!$J$5:$J$204,"&lt;&gt;Cancelado"))</x:f>
      </x:c>
      <x:c r="F10" s="55" t="str">
        <x:f>IF(A10="","",COUNTIFS(Chamados!$I$5:$I$204,A10,Chamados!$P$5:$P$204,"ATRASADO",Chamados!$J$5:$J$204,"&lt;&gt;Fechado",Chamados!$J$5:$J$204,"&lt;&gt;Resolvido",Chamados!$J$5:$J$204,"&lt;&gt;Cancelado"))</x:f>
      </x:c>
      <x:c r="G10" s="67" t="str">
        <x:f>IF(A10="","",IF(OR(NOT(ISNUMBER(C10)),C10&lt;=0),"n.a.",D10/C10))</x:f>
      </x:c>
      <x:c r="H10" s="55" t="str">
        <x:f>IF(A10="","",IF(OR(NOT(ISNUMBER(C10)),C10&lt;0),"CORRIGIR CAPACIDADE",IF(C10=0,IF(D10&gt;0,"SEM CAPACIDADE","SEM DEMANDA"),IF(D10&gt;C10,"REDISTRIBUIR",IF(F10&gt;0,"ATUAR SLA","OK")))))</x:f>
      </x:c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</x:row>
    <x:row r="11">
      <x:c r="A11" s="28"/>
      <x:c r="B11" s="28"/>
      <x:c r="C11" s="28"/>
      <x:c r="D11" s="55" t="str">
        <x:f>IF(A11="","",COUNTIFS(Chamados!$I$5:$I$204,A11,Chamados!$AD$5:$AD$204,1,Chamados!$J$5:$J$204,"&lt;&gt;Fechado",Chamados!$J$5:$J$204,"&lt;&gt;Resolvido",Chamados!$J$5:$J$204,"&lt;&gt;Cancelado"))</x:f>
      </x:c>
      <x:c r="E11" s="55" t="str">
        <x:f>IF(A11="","",COUNTIFS(Chamados!$I$5:$I$204,A11,Chamados!$AD$5:$AD$204,1,Chamados!$H$5:$H$204,"Crítica",Chamados!$J$5:$J$204,"&lt;&gt;Fechado",Chamados!$J$5:$J$204,"&lt;&gt;Resolvido",Chamados!$J$5:$J$204,"&lt;&gt;Cancelado"))</x:f>
      </x:c>
      <x:c r="F11" s="55" t="str">
        <x:f>IF(A11="","",COUNTIFS(Chamados!$I$5:$I$204,A11,Chamados!$P$5:$P$204,"ATRASADO",Chamados!$J$5:$J$204,"&lt;&gt;Fechado",Chamados!$J$5:$J$204,"&lt;&gt;Resolvido",Chamados!$J$5:$J$204,"&lt;&gt;Cancelado"))</x:f>
      </x:c>
      <x:c r="G11" s="67" t="str">
        <x:f>IF(A11="","",IF(OR(NOT(ISNUMBER(C11)),C11&lt;=0),"n.a.",D11/C11))</x:f>
      </x:c>
      <x:c r="H11" s="55" t="str">
        <x:f>IF(A11="","",IF(OR(NOT(ISNUMBER(C11)),C11&lt;0),"CORRIGIR CAPACIDADE",IF(C11=0,IF(D11&gt;0,"SEM CAPACIDADE","SEM DEMANDA"),IF(D11&gt;C11,"REDISTRIBUIR",IF(F11&gt;0,"ATUAR SLA","OK")))))</x:f>
      </x:c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</x:row>
    <x:row r="12">
      <x:c r="A12" s="29"/>
      <x:c r="B12" s="29"/>
      <x:c r="C12" s="29"/>
      <x:c r="D12" s="61" t="str">
        <x:f>IF(A12="","",COUNTIFS(Chamados!$I$5:$I$204,A12,Chamados!$AD$5:$AD$204,1,Chamados!$J$5:$J$204,"&lt;&gt;Fechado",Chamados!$J$5:$J$204,"&lt;&gt;Resolvido",Chamados!$J$5:$J$204,"&lt;&gt;Cancelado"))</x:f>
      </x:c>
      <x:c r="E12" s="61" t="str">
        <x:f>IF(A12="","",COUNTIFS(Chamados!$I$5:$I$204,A12,Chamados!$AD$5:$AD$204,1,Chamados!$H$5:$H$204,"Crítica",Chamados!$J$5:$J$204,"&lt;&gt;Fechado",Chamados!$J$5:$J$204,"&lt;&gt;Resolvido",Chamados!$J$5:$J$204,"&lt;&gt;Cancelado"))</x:f>
      </x:c>
      <x:c r="F12" s="61" t="str">
        <x:f>IF(A12="","",COUNTIFS(Chamados!$I$5:$I$204,A12,Chamados!$P$5:$P$204,"ATRASADO",Chamados!$J$5:$J$204,"&lt;&gt;Fechado",Chamados!$J$5:$J$204,"&lt;&gt;Resolvido",Chamados!$J$5:$J$204,"&lt;&gt;Cancelado"))</x:f>
      </x:c>
      <x:c r="G12" s="68" t="str">
        <x:f>IF(A12="","",IF(OR(NOT(ISNUMBER(C12)),C12&lt;=0),"n.a.",D12/C12))</x:f>
      </x:c>
      <x:c r="H12" s="61" t="str">
        <x:f>IF(A12="","",IF(OR(NOT(ISNUMBER(C12)),C12&lt;0),"CORRIGIR CAPACIDADE",IF(C12=0,IF(D12&gt;0,"SEM CAPACIDADE","SEM DEMANDA"),IF(D12&gt;C12,"REDISTRIBUIR",IF(F12&gt;0,"ATUAR SLA","OK")))))</x:f>
      </x:c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</x:row>
    <x:row r="20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  <x:c r="M201" s="1"/>
      <x:c r="N201" s="1"/>
      <x:c r="O201" s="1"/>
      <x:c r="P201" s="1"/>
      <x:c r="Q201" s="1"/>
      <x:c r="R201" s="1"/>
      <x:c r="S201" s="1"/>
      <x:c r="T201" s="1"/>
      <x:c r="U201" s="1"/>
      <x:c r="V201" s="1"/>
      <x:c r="W201" s="1"/>
    </x:row>
    <x:row r="202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  <x:c r="R202" s="1"/>
      <x:c r="S202" s="1"/>
      <x:c r="T202" s="1"/>
      <x:c r="U202" s="1"/>
      <x:c r="V202" s="1"/>
      <x:c r="W202" s="1"/>
    </x:row>
    <x:row r="203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  <x:c r="R203" s="1"/>
      <x:c r="S203" s="1"/>
      <x:c r="T203" s="1"/>
      <x:c r="U203" s="1"/>
      <x:c r="V203" s="1"/>
      <x:c r="W203" s="1"/>
    </x:row>
    <x:row r="204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  <x:c r="R204" s="1"/>
      <x:c r="S204" s="1"/>
      <x:c r="T204" s="1"/>
      <x:c r="U204" s="1"/>
      <x:c r="V204" s="1"/>
      <x:c r="W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</x:row>
  </x:sheetData>
  <x:mergeCells>
    <x:mergeCell ref="A1:H1"/>
    <x:mergeCell ref="A2:H2"/>
  </x:mergeCells>
  <x:conditionalFormatting sqref="H5:H12">
    <x:cfRule type="containsText" dxfId="4" priority="1" operator="containsText" text="REDISTRIBUIR"/>
    <x:cfRule type="containsText" dxfId="5" priority="2" operator="containsText" text="ATENÇÃO"/>
  </x:conditionalFormatting>
  <x:dataValidations count="1">
    <x:dataValidation type="whole" operator="greaterThanOrEqual" sqref="C5:C12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facc38d8dc340dc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5" hidden="0" customWidth="1"/>
    <x:col min="2" max="2" width="20" hidden="0" customWidth="1"/>
    <x:col min="3" max="3" width="25" hidden="0" customWidth="1"/>
    <x:col min="4" max="4" width="4" hidden="0" customWidth="1"/>
    <x:col min="5" max="5" width="28" hidden="0" customWidth="1"/>
    <x:col min="6" max="6" width="24" hidden="0" customWidth="1"/>
    <x:col min="7" max="7" width="18" hidden="0" customWidth="1"/>
    <x:col min="8" max="8" width="23" hidden="0" customWidth="1"/>
  </x:cols>
  <x:sheetData>
    <x:row r="1" ht="34" customHeight="1">
      <x:c r="A1" s="4" t="str">
        <x:v>LISTAS E PARÂMETROS DE SLA</x:v>
      </x:c>
      <x:c r="B1" s="4" t="str">
        <x:v>LISTAS E PARÂMETROS DE SLA</x:v>
      </x:c>
      <x:c r="C1" s="4" t="str">
        <x:v>LISTAS E PARÂMETROS DE SLA</x:v>
      </x:c>
      <x:c r="D1" s="4" t="str">
        <x:v>LISTAS E PARÂMETROS DE SLA</x:v>
      </x:c>
      <x:c r="E1" s="4" t="str">
        <x:v>LISTAS E PARÂMETROS DE SLA</x:v>
      </x:c>
      <x:c r="F1" s="4" t="str">
        <x:v>LISTAS E PARÂMETROS DE SLA</x:v>
      </x:c>
      <x:c r="G1" s="4" t="str">
        <x:v>LISTAS E PARÂMETROS DE SLA</x:v>
      </x:c>
      <x:c r="H1" s="4" t="str">
        <x:v>LISTAS E PARÂMETROS DE SLA</x:v>
      </x:c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8" customHeight="1">
      <x:c r="A2" s="8" t="str">
        <x:v>Edite os prazos conforme a política da operação. Os SLAs deste modelo usam horas corridas.</x:v>
      </x:c>
      <x:c r="B2" s="8" t="str">
        <x:v>Edite os prazos conforme a política da operação. Os SLAs deste modelo usam horas corridas.</x:v>
      </x:c>
      <x:c r="C2" s="8" t="str">
        <x:v>Edite os prazos conforme a política da operação. Os SLAs deste modelo usam horas corridas.</x:v>
      </x:c>
      <x:c r="D2" s="8" t="str">
        <x:v>Edite os prazos conforme a política da operação. Os SLAs deste modelo usam horas corridas.</x:v>
      </x:c>
      <x:c r="E2" s="8" t="str">
        <x:v>Edite os prazos conforme a política da operação. Os SLAs deste modelo usam horas corridas.</x:v>
      </x:c>
      <x:c r="F2" s="8" t="str">
        <x:v>Edite os prazos conforme a política da operação. Os SLAs deste modelo usam horas corridas.</x:v>
      </x:c>
      <x:c r="G2" s="8" t="str">
        <x:v>Edite os prazos conforme a política da operação. Os SLAs deste modelo usam horas corridas.</x:v>
      </x:c>
      <x:c r="H2" s="8" t="str">
        <x:v>Edite os prazos conforme a política da operação. Os SLAs deste modelo usam horas corridas.</x:v>
      </x:c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4" customHeight="1">
      <x:c r="A4" s="10" t="str">
        <x:v>SLA POR PRIORIDADE</x:v>
      </x:c>
      <x:c r="B4" s="10" t="str">
        <x:v>SLA POR PRIORIDADE</x:v>
      </x:c>
      <x:c r="C4" s="10" t="str">
        <x:v>SLA POR PRIORIDADE</x:v>
      </x:c>
      <x:c r="D4" s="1"/>
      <x:c r="E4" s="10" t="str">
        <x:v>LISTAS DE PREENCHIMENTO</x:v>
      </x:c>
      <x:c r="F4" s="10" t="str">
        <x:v>LISTAS DE PREENCHIMENTO</x:v>
      </x:c>
      <x:c r="G4" s="10" t="str">
        <x:v>LISTAS DE PREENCHIMENTO</x:v>
      </x:c>
      <x:c r="H4" s="10" t="str">
        <x:v>LISTAS DE PREENCHIMENTO</x:v>
      </x:c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42" customHeight="1">
      <x:c r="A5" s="22" t="str">
        <x:v>Prioridade</x:v>
      </x:c>
      <x:c r="B5" s="23" t="str">
        <x:v>Resposta (horas)</x:v>
      </x:c>
      <x:c r="C5" s="24" t="str">
        <x:v>Resolução (horas)</x:v>
      </x:c>
      <x:c r="D5" s="1"/>
      <x:c r="E5" s="22" t="str">
        <x:v>Status</x:v>
      </x:c>
      <x:c r="F5" s="23" t="str">
        <x:v>Categoria</x:v>
      </x:c>
      <x:c r="G5" s="23" t="str">
        <x:v>Canal</x:v>
      </x:c>
      <x:c r="H5" s="24" t="str">
        <x:v>Área</x:v>
      </x:c>
      <x:c r="I5" s="1"/>
      <x:c r="J5" s="1" t="str">
        <x:v>Filtro de responsável</x:v>
      </x:c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>
      <x:c r="A6" s="27" t="str">
        <x:v>Crítica</x:v>
      </x:c>
      <x:c r="B6" s="30" t="n">
        <x:v>1</x:v>
      </x:c>
      <x:c r="C6" s="30" t="n">
        <x:v>4</x:v>
      </x:c>
      <x:c r="D6" s="1"/>
      <x:c r="E6" s="34" t="str">
        <x:v>Novo</x:v>
      </x:c>
      <x:c r="F6" s="34" t="str">
        <x:v>Acesso e senha</x:v>
      </x:c>
      <x:c r="G6" s="34" t="str">
        <x:v>Portal</x:v>
      </x:c>
      <x:c r="H6" s="34" t="str">
        <x:v>Comercial</x:v>
      </x:c>
      <x:c r="I6" s="1"/>
      <x:c r="J6" s="1" t="str">
        <x:v>Todos</x:v>
      </x:c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</x:row>
    <x:row r="7">
      <x:c r="A7" s="28" t="str">
        <x:v>Alta</x:v>
      </x:c>
      <x:c r="B7" s="31" t="n">
        <x:v>4</x:v>
      </x:c>
      <x:c r="C7" s="31" t="n">
        <x:v>16</x:v>
      </x:c>
      <x:c r="D7" s="1"/>
      <x:c r="E7" s="35" t="str">
        <x:v>Em atendimento</x:v>
      </x:c>
      <x:c r="F7" s="35" t="str">
        <x:v>Hardware</x:v>
      </x:c>
      <x:c r="G7" s="35" t="str">
        <x:v>E-mail</x:v>
      </x:c>
      <x:c r="H7" s="35" t="str">
        <x:v>Financeiro</x:v>
      </x:c>
      <x:c r="I7" s="1"/>
      <x:c r="J7" s="1" t="str">
        <x:f>IF(Equipe!A5="","",Equipe!A5)</x:f>
        <x:v>Ana Lima</x:v>
      </x:c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</x:row>
    <x:row r="8">
      <x:c r="A8" s="28" t="str">
        <x:v>Média</x:v>
      </x:c>
      <x:c r="B8" s="31" t="n">
        <x:v>8</x:v>
      </x:c>
      <x:c r="C8" s="31" t="n">
        <x:v>40</x:v>
      </x:c>
      <x:c r="D8" s="1"/>
      <x:c r="E8" s="35" t="str">
        <x:v>Aguardando solicitante</x:v>
      </x:c>
      <x:c r="F8" s="35" t="str">
        <x:v>Software</x:v>
      </x:c>
      <x:c r="G8" s="35" t="str">
        <x:v>Telefone</x:v>
      </x:c>
      <x:c r="H8" s="35" t="str">
        <x:v>Operações</x:v>
      </x:c>
      <x:c r="I8" s="1"/>
      <x:c r="J8" s="1" t="str">
        <x:f>IF(Equipe!A6="","",Equipe!A6)</x:f>
        <x:v>Bruno Reis</x:v>
      </x:c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</x:row>
    <x:row r="9">
      <x:c r="A9" s="29" t="str">
        <x:v>Baixa</x:v>
      </x:c>
      <x:c r="B9" s="32" t="n">
        <x:v>16</x:v>
      </x:c>
      <x:c r="C9" s="32" t="n">
        <x:v>80</x:v>
      </x:c>
      <x:c r="D9" s="1"/>
      <x:c r="E9" s="35" t="str">
        <x:v>Resolvido</x:v>
      </x:c>
      <x:c r="F9" s="35" t="str">
        <x:v>Rede</x:v>
      </x:c>
      <x:c r="G9" s="35" t="str">
        <x:v>Chat</x:v>
      </x:c>
      <x:c r="H9" s="35" t="str">
        <x:v>RH</x:v>
      </x:c>
      <x:c r="I9" s="1"/>
      <x:c r="J9" s="1" t="str">
        <x:f>IF(Equipe!A7="","",Equipe!A7)</x:f>
        <x:v>Carla Souza</x:v>
      </x:c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</x:row>
    <x:row r="10">
      <x:c r="A10" s="1"/>
      <x:c r="B10" s="1"/>
      <x:c r="C10" s="1"/>
      <x:c r="D10" s="1"/>
      <x:c r="E10" s="35" t="str">
        <x:v>Fechado</x:v>
      </x:c>
      <x:c r="F10" s="35" t="str">
        <x:v>Solicitação</x:v>
      </x:c>
      <x:c r="G10" s="35"/>
      <x:c r="H10" s="35" t="str">
        <x:v>TI</x:v>
      </x:c>
      <x:c r="I10" s="1"/>
      <x:c r="J10" s="1" t="str">
        <x:f>IF(Equipe!A8="","",Equipe!A8)</x:f>
        <x:v>Diego Martins</x:v>
      </x:c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</x:row>
    <x:row r="11">
      <x:c r="A11" s="1"/>
      <x:c r="B11" s="1"/>
      <x:c r="C11" s="1"/>
      <x:c r="D11" s="1"/>
      <x:c r="E11" s="35" t="str">
        <x:v>Cancelado</x:v>
      </x:c>
      <x:c r="F11" s="35" t="str">
        <x:v>Financeiro</x:v>
      </x:c>
      <x:c r="G11" s="35"/>
      <x:c r="H11" s="35" t="str">
        <x:v>Suprimentos</x:v>
      </x:c>
      <x:c r="I11" s="1"/>
      <x:c r="J11" s="1" t="str">
        <x:f>IF(Equipe!A9="","",Equipe!A9)</x:f>
      </x:c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</x:row>
    <x:row r="12" ht="24" customHeight="1">
      <x:c r="A12" s="10" t="str">
        <x:v>REGRAS DO MODELO</x:v>
      </x:c>
      <x:c r="B12" s="10" t="str">
        <x:v>REGRAS DO MODELO</x:v>
      </x:c>
      <x:c r="C12" s="10" t="str">
        <x:v>REGRAS DO MODELO</x:v>
      </x:c>
      <x:c r="D12" s="1"/>
      <x:c r="E12" s="35"/>
      <x:c r="F12" s="35" t="str">
        <x:v>RH</x:v>
      </x:c>
      <x:c r="G12" s="35"/>
      <x:c r="H12" s="35" t="str">
        <x:v>Administrativo</x:v>
      </x:c>
      <x:c r="I12" s="1"/>
      <x:c r="J12" s="1" t="str">
        <x:f>IF(Equipe!A10="","",Equipe!A10)</x:f>
      </x:c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</x:row>
    <x:row r="13" ht="42" customHeight="1">
      <x:c r="A13" s="22" t="str">
        <x:v>Regra</x:v>
      </x:c>
      <x:c r="B13" s="23" t="str">
        <x:v>Valor</x:v>
      </x:c>
      <x:c r="C13" s="24" t="str">
        <x:v>Uso</x:v>
      </x:c>
      <x:c r="D13" s="1"/>
      <x:c r="E13" s="36"/>
      <x:c r="F13" s="36" t="str">
        <x:v>Operação</x:v>
      </x:c>
      <x:c r="G13" s="36"/>
      <x:c r="H13" s="36"/>
      <x:c r="I13" s="1"/>
      <x:c r="J13" s="1" t="str">
        <x:f>IF(Equipe!A11="","",Equipe!A11)</x:f>
      </x:c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</x:row>
    <x:row r="14">
      <x:c r="A14" s="37" t="str">
        <x:v>Backlog antigo (dias)</x:v>
      </x:c>
      <x:c r="B14" s="27" t="n">
        <x:v>7</x:v>
      </x:c>
      <x:c r="C14" s="37" t="str">
        <x:v>Alerta no Dashboard</x:v>
      </x:c>
      <x:c r="D14" s="1"/>
      <x:c r="E14" s="1"/>
      <x:c r="F14" s="1"/>
      <x:c r="G14" s="1"/>
      <x:c r="H14" s="1"/>
      <x:c r="I14" s="1"/>
      <x:c r="J14" s="1" t="str">
        <x:f>IF(Equipe!A12="","",Equipe!A12)</x:f>
      </x:c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</x:row>
    <x:row r="15">
      <x:c r="A15" s="38" t="str">
        <x:v>Capacidade padrão</x:v>
      </x:c>
      <x:c r="B15" s="28" t="n">
        <x:v>6</x:v>
      </x:c>
      <x:c r="C15" s="38" t="str">
        <x:v>Chamados abertos por responsável</x:v>
      </x:c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</x:row>
    <x:row r="16">
      <x:c r="A16" s="38" t="str">
        <x:v>Faixa de score crítico</x:v>
      </x:c>
      <x:c r="B16" s="28" t="n">
        <x:v>16</x:v>
      </x:c>
      <x:c r="C16" s="38" t="str">
        <x:v>Impacto × urgência</x:v>
      </x:c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</x:row>
    <x:row r="17">
      <x:c r="A17" s="38" t="str">
        <x:v>Unidade do SLA</x:v>
      </x:c>
      <x:c r="B17" s="38" t="str">
        <x:v>Horas corridas</x:v>
      </x:c>
      <x:c r="C17" s="38" t="str">
        <x:v>Prazo a partir da abertura</x:v>
      </x:c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</x:row>
    <x:row r="18">
      <x:c r="A18" s="38" t="str">
        <x:v>Data/hora da análise</x:v>
      </x:c>
      <x:c r="B18" s="41" t="n">
        <x:v>46291.75</x:v>
      </x:c>
      <x:c r="C18" s="38" t="str">
        <x:v>Atualize antes da revisão do Dashboard</x:v>
      </x:c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</x:row>
    <x:row r="20">
      <x:c r="A20" s="1" t="str">
        <x:v>Responsável no painel</x:v>
      </x:c>
      <x:c r="B20" s="151" t="str">
        <x:v>Todos</x:v>
      </x:c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</x:row>
    <x:row r="21">
      <x:c r="A21" s="1" t="str">
        <x:v>Versão em revisão</x:v>
      </x:c>
      <x:c r="B21" s="1" t="str">
        <x:v>2.0</x:v>
      </x:c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</x:row>
    <x:row r="20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  <x:c r="M201" s="1"/>
      <x:c r="N201" s="1"/>
      <x:c r="O201" s="1"/>
      <x:c r="P201" s="1"/>
      <x:c r="Q201" s="1"/>
      <x:c r="R201" s="1"/>
      <x:c r="S201" s="1"/>
      <x:c r="T201" s="1"/>
      <x:c r="U201" s="1"/>
      <x:c r="V201" s="1"/>
      <x:c r="W201" s="1"/>
    </x:row>
    <x:row r="202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  <x:c r="R202" s="1"/>
      <x:c r="S202" s="1"/>
      <x:c r="T202" s="1"/>
      <x:c r="U202" s="1"/>
      <x:c r="V202" s="1"/>
      <x:c r="W202" s="1"/>
    </x:row>
    <x:row r="203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  <x:c r="R203" s="1"/>
      <x:c r="S203" s="1"/>
      <x:c r="T203" s="1"/>
      <x:c r="U203" s="1"/>
      <x:c r="V203" s="1"/>
      <x:c r="W203" s="1"/>
    </x:row>
    <x:row r="204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  <x:c r="R204" s="1"/>
      <x:c r="S204" s="1"/>
      <x:c r="T204" s="1"/>
      <x:c r="U204" s="1"/>
      <x:c r="V204" s="1"/>
      <x:c r="W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</x:row>
  </x:sheetData>
  <x:mergeCells>
    <x:mergeCell ref="A1:H1"/>
    <x:mergeCell ref="A2:H2"/>
    <x:mergeCell ref="A4:C4"/>
    <x:mergeCell ref="E4:H4"/>
    <x:mergeCell ref="A12:C12"/>
  </x:mergeCells>
  <x:dataValidations count="2">
    <x:dataValidation type="list" sqref="B20">
      <x:formula1>Listas!$J$6:$J$14</x:formula1>
    </x:dataValidation>
    <x:dataValidation type="decimal" operator="greaterThan" sqref="B6:C9">
      <x:formula1>0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05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34" customHeight="1">
      <x:c r="A1" s="4" t="str">
        <x:v>COMO USAR A PLANILHA</x:v>
      </x:c>
      <x:c r="B1" s="4" t="str">
        <x:v>COMO USAR A PLANILHA</x:v>
      </x:c>
      <x:c r="C1" s="4" t="str">
        <x:v>COMO USAR A PLANILHA</x:v>
      </x:c>
      <x:c r="D1" s="4" t="str">
        <x:v>COMO USAR A PLANILHA</x:v>
      </x:c>
      <x:c r="E1" s="4" t="str">
        <x:v>COMO USAR A PLANILHA</x:v>
      </x:c>
      <x:c r="F1" s="4" t="str">
        <x:v>COMO USAR A PLANILHA</x:v>
      </x:c>
      <x:c r="G1" s="4" t="str">
        <x:v>COMO USAR A PLANILHA</x:v>
      </x:c>
      <x:c r="H1" s="4" t="str">
        <x:v>COMO USAR A PLANILHA</x:v>
      </x:c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>
      <x:c r="A2" s="1"/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>
      <x:c r="A3" s="115" t="str">
        <x:v>OBJETIVO: organizar chamados, medir SLA e indicar quais atendimentos devem ser escalados ou redistribuídos.</x:v>
      </x:c>
      <x:c r="B3" s="115" t="str">
        <x:v>OBJETIVO: organizar chamados, medir SLA e indicar quais atendimentos devem ser escalados ou redistribuídos.</x:v>
      </x:c>
      <x:c r="C3" s="115" t="str">
        <x:v>OBJETIVO: organizar chamados, medir SLA e indicar quais atendimentos devem ser escalados ou redistribuídos.</x:v>
      </x:c>
      <x:c r="D3" s="115" t="str">
        <x:v>OBJETIVO: organizar chamados, medir SLA e indicar quais atendimentos devem ser escalados ou redistribuídos.</x:v>
      </x:c>
      <x:c r="E3" s="115" t="str">
        <x:v>OBJETIVO: organizar chamados, medir SLA e indicar quais atendimentos devem ser escalados ou redistribuídos.</x:v>
      </x:c>
      <x:c r="F3" s="115" t="str">
        <x:v>OBJETIVO: organizar chamados, medir SLA e indicar quais atendimentos devem ser escalados ou redistribuídos.</x:v>
      </x:c>
      <x:c r="G3" s="115" t="str">
        <x:v>OBJETIVO: organizar chamados, medir SLA e indicar quais atendimentos devem ser escalados ou redistribuídos.</x:v>
      </x:c>
      <x:c r="H3" s="115" t="str">
        <x:v>OBJETIVO: organizar chamados, medir SLA e indicar quais atendimentos devem ser escalados ou redistribuídos.</x:v>
      </x:c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48" customHeight="1">
      <x:c r="A5" s="117" t="str">
        <x:v>1. Ajuste os SLAs</x:v>
      </x:c>
      <x:c r="B5" s="121" t="str">
        <x:v>Na aba Listas, revise horas de resposta e resolução por prioridade.</x:v>
      </x:c>
      <x:c r="C5" s="193"/>
      <x:c r="D5" s="193"/>
      <x:c r="E5" s="193"/>
      <x:c r="F5" s="193"/>
      <x:c r="G5" s="193"/>
      <x:c r="H5" s="193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8" customHeight="1">
      <x:c r="A6" s="117" t="str">
        <x:v>2. Atualize a referência</x:v>
      </x:c>
      <x:c r="B6" s="122" t="str">
        <x:v>Informe na aba Listas a data e hora da análise para recalcular atrasos e backlog.</x:v>
      </x:c>
      <x:c r="C6" s="193"/>
      <x:c r="D6" s="193"/>
      <x:c r="E6" s="193"/>
      <x:c r="F6" s="193"/>
      <x:c r="G6" s="193"/>
      <x:c r="H6" s="193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</x:row>
    <x:row r="7" ht="48" customHeight="1">
      <x:c r="A7" s="117" t="str">
        <x:v>3. Registre o chamado</x:v>
      </x:c>
      <x:c r="B7" s="122" t="str">
        <x:v>Preencha ID, abertura, solicitante, área, categoria, assunto, canal e prioridade.</x:v>
      </x:c>
      <x:c r="C7" s="193"/>
      <x:c r="D7" s="193"/>
      <x:c r="E7" s="193"/>
      <x:c r="F7" s="193"/>
      <x:c r="G7" s="193"/>
      <x:c r="H7" s="193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</x:row>
    <x:row r="8" ht="48" customHeight="1">
      <x:c r="A8" s="117" t="str">
        <x:v>4. Defina o responsável</x:v>
      </x:c>
      <x:c r="B8" s="122" t="str">
        <x:v>Selecione o atendente e mantenha o status atualizado.</x:v>
      </x:c>
      <x:c r="C8" s="193"/>
      <x:c r="D8" s="193"/>
      <x:c r="E8" s="193"/>
      <x:c r="F8" s="193"/>
      <x:c r="G8" s="193"/>
      <x:c r="H8" s="193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</x:row>
    <x:row r="9" ht="48" customHeight="1">
      <x:c r="A9" s="117" t="str">
        <x:v>5. Registre a resposta</x:v>
      </x:c>
      <x:c r="B9" s="122" t="str">
        <x:v>Informe data e hora do primeiro retorno ao solicitante.</x:v>
      </x:c>
      <x:c r="C9" s="193"/>
      <x:c r="D9" s="193"/>
      <x:c r="E9" s="193"/>
      <x:c r="F9" s="193"/>
      <x:c r="G9" s="193"/>
      <x:c r="H9" s="193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</x:row>
    <x:row r="10" ht="48" customHeight="1">
      <x:c r="A10" s="117" t="str">
        <x:v>6. Atualize a resolução</x:v>
      </x:c>
      <x:c r="B10" s="122" t="str">
        <x:v>Preencha a conclusão e marque o chamado como Resolvido ou Fechado.</x:v>
      </x:c>
      <x:c r="C10" s="193"/>
      <x:c r="D10" s="193"/>
      <x:c r="E10" s="193"/>
      <x:c r="F10" s="193"/>
      <x:c r="G10" s="193"/>
      <x:c r="H10" s="193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</x:row>
    <x:row r="11" ht="48" customHeight="1">
      <x:c r="A11" s="117" t="str">
        <x:v>7. Use o histórico</x:v>
      </x:c>
      <x:c r="B11" s="122" t="str">
        <x:v>Registre diagnósticos, retornos, escalonamentos e esforço relevante.</x:v>
      </x:c>
      <x:c r="C11" s="193"/>
      <x:c r="D11" s="193"/>
      <x:c r="E11" s="193"/>
      <x:c r="F11" s="193"/>
      <x:c r="G11" s="193"/>
      <x:c r="H11" s="193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</x:row>
    <x:row r="12" ht="48" customHeight="1">
      <x:c r="A12" s="117" t="str">
        <x:v>8. Leia os alertas</x:v>
      </x:c>
      <x:c r="B12" s="122" t="str">
        <x:v>ESCALAR indica atraso ou score crítico; RESPONDER AGORA indica primeira resposta atrasada.</x:v>
      </x:c>
      <x:c r="C12" s="193"/>
      <x:c r="D12" s="193"/>
      <x:c r="E12" s="193"/>
      <x:c r="F12" s="193"/>
      <x:c r="G12" s="193"/>
      <x:c r="H12" s="193"/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</x:row>
    <x:row r="13" ht="48" customHeight="1">
      <x:c r="A13" s="117" t="str">
        <x:v>9. Revise a capacidade</x:v>
      </x:c>
      <x:c r="B13" s="122" t="str">
        <x:v>Redistribua quando abertos excederem a capacidade. Atraso isolado requer ATUAR SLA; não prova sobrecarga.</x:v>
      </x:c>
      <x:c r="C13" s="193"/>
      <x:c r="D13" s="193"/>
      <x:c r="E13" s="193"/>
      <x:c r="F13" s="193"/>
      <x:c r="G13" s="193"/>
      <x:c r="H13" s="193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</x:row>
    <x:row r="14" ht="48" customHeight="1">
      <x:c r="A14" s="117" t="str">
        <x:v>10. Feche com evidência</x:v>
      </x:c>
      <x:c r="B14" s="123" t="str">
        <x:v>Confirme solução, registro final e comunicação ao solicitante antes de encerrar.</x:v>
      </x:c>
      <x:c r="C14" s="193"/>
      <x:c r="D14" s="193"/>
      <x:c r="E14" s="193"/>
      <x:c r="F14" s="193"/>
      <x:c r="G14" s="193"/>
      <x:c r="H14" s="193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</x:row>
    <x:row r="16">
      <x:c r="A16" s="142" t="str">
        <x:v>Importante: os prazos deste modelo usam horas corridas. Para contratos com horário útil, feriados ou pausas formais de SLA, adapte a regra antes de utilizar os indicadores como compromisso contratual.</x:v>
      </x:c>
      <x:c r="B16" s="143" t="str">
        <x:v>Importante: os prazos deste modelo usam horas corridas. Para contratos com horário útil, feriados ou pausas formais de SLA, adapte a regra antes de utilizar os indicadores como compromisso contratual.</x:v>
      </x:c>
      <x:c r="C16" s="143" t="str">
        <x:v>Importante: os prazos deste modelo usam horas corridas. Para contratos com horário útil, feriados ou pausas formais de SLA, adapte a regra antes de utilizar os indicadores como compromisso contratual.</x:v>
      </x:c>
      <x:c r="D16" s="143" t="str">
        <x:v>Importante: os prazos deste modelo usam horas corridas. Para contratos com horário útil, feriados ou pausas formais de SLA, adapte a regra antes de utilizar os indicadores como compromisso contratual.</x:v>
      </x:c>
      <x:c r="E16" s="143" t="str">
        <x:v>Importante: os prazos deste modelo usam horas corridas. Para contratos com horário útil, feriados ou pausas formais de SLA, adapte a regra antes de utilizar os indicadores como compromisso contratual.</x:v>
      </x:c>
      <x:c r="F16" s="143" t="str">
        <x:v>Importante: os prazos deste modelo usam horas corridas. Para contratos com horário útil, feriados ou pausas formais de SLA, adapte a regra antes de utilizar os indicadores como compromisso contratual.</x:v>
      </x:c>
      <x:c r="G16" s="143" t="str">
        <x:v>Importante: os prazos deste modelo usam horas corridas. Para contratos com horário útil, feriados ou pausas formais de SLA, adapte a regra antes de utilizar os indicadores como compromisso contratual.</x:v>
      </x:c>
      <x:c r="H16" s="144" t="str">
        <x:v>Importante: os prazos deste modelo usam horas corridas. Para contratos com horário útil, feriados ou pausas formais de SLA, adapte a regra antes de utilizar os indicadores como compromisso contratual.</x:v>
      </x:c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</x:row>
    <x:row r="17">
      <x:c r="A17" s="145" t="str">
        <x:v>Importante: os prazos deste modelo usam horas corridas. Para contratos com horário útil, feriados ou pausas formais de SLA, adapte a regra antes de utilizar os indicadores como compromisso contratual.</x:v>
      </x:c>
      <x:c r="B17" s="146" t="str">
        <x:v>Importante: os prazos deste modelo usam horas corridas. Para contratos com horário útil, feriados ou pausas formais de SLA, adapte a regra antes de utilizar os indicadores como compromisso contratual.</x:v>
      </x:c>
      <x:c r="C17" s="146" t="str">
        <x:v>Importante: os prazos deste modelo usam horas corridas. Para contratos com horário útil, feriados ou pausas formais de SLA, adapte a regra antes de utilizar os indicadores como compromisso contratual.</x:v>
      </x:c>
      <x:c r="D17" s="146" t="str">
        <x:v>Importante: os prazos deste modelo usam horas corridas. Para contratos com horário útil, feriados ou pausas formais de SLA, adapte a regra antes de utilizar os indicadores como compromisso contratual.</x:v>
      </x:c>
      <x:c r="E17" s="146" t="str">
        <x:v>Importante: os prazos deste modelo usam horas corridas. Para contratos com horário útil, feriados ou pausas formais de SLA, adapte a regra antes de utilizar os indicadores como compromisso contratual.</x:v>
      </x:c>
      <x:c r="F17" s="146" t="str">
        <x:v>Importante: os prazos deste modelo usam horas corridas. Para contratos com horário útil, feriados ou pausas formais de SLA, adapte a regra antes de utilizar os indicadores como compromisso contratual.</x:v>
      </x:c>
      <x:c r="G17" s="146" t="str">
        <x:v>Importante: os prazos deste modelo usam horas corridas. Para contratos com horário útil, feriados ou pausas formais de SLA, adapte a regra antes de utilizar os indicadores como compromisso contratual.</x:v>
      </x:c>
      <x:c r="H17" s="147" t="str">
        <x:v>Importante: os prazos deste modelo usam horas corridas. Para contratos com horário útil, feriados ou pausas formais de SLA, adapte a regra antes de utilizar os indicadores como compromisso contratual.</x:v>
      </x:c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</x:row>
    <x:row r="18">
      <x:c r="A18" s="145" t="str">
        <x:v>Importante: os prazos deste modelo usam horas corridas. Para contratos com horário útil, feriados ou pausas formais de SLA, adapte a regra antes de utilizar os indicadores como compromisso contratual.</x:v>
      </x:c>
      <x:c r="B18" s="146" t="str">
        <x:v>Importante: os prazos deste modelo usam horas corridas. Para contratos com horário útil, feriados ou pausas formais de SLA, adapte a regra antes de utilizar os indicadores como compromisso contratual.</x:v>
      </x:c>
      <x:c r="C18" s="146" t="str">
        <x:v>Importante: os prazos deste modelo usam horas corridas. Para contratos com horário útil, feriados ou pausas formais de SLA, adapte a regra antes de utilizar os indicadores como compromisso contratual.</x:v>
      </x:c>
      <x:c r="D18" s="146" t="str">
        <x:v>Importante: os prazos deste modelo usam horas corridas. Para contratos com horário útil, feriados ou pausas formais de SLA, adapte a regra antes de utilizar os indicadores como compromisso contratual.</x:v>
      </x:c>
      <x:c r="E18" s="146" t="str">
        <x:v>Importante: os prazos deste modelo usam horas corridas. Para contratos com horário útil, feriados ou pausas formais de SLA, adapte a regra antes de utilizar os indicadores como compromisso contratual.</x:v>
      </x:c>
      <x:c r="F18" s="146" t="str">
        <x:v>Importante: os prazos deste modelo usam horas corridas. Para contratos com horário útil, feriados ou pausas formais de SLA, adapte a regra antes de utilizar os indicadores como compromisso contratual.</x:v>
      </x:c>
      <x:c r="G18" s="146" t="str">
        <x:v>Importante: os prazos deste modelo usam horas corridas. Para contratos com horário útil, feriados ou pausas formais de SLA, adapte a regra antes de utilizar os indicadores como compromisso contratual.</x:v>
      </x:c>
      <x:c r="H18" s="147" t="str">
        <x:v>Importante: os prazos deste modelo usam horas corridas. Para contratos com horário útil, feriados ou pausas formais de SLA, adapte a regra antes de utilizar os indicadores como compromisso contratual.</x:v>
      </x:c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</x:row>
    <x:row r="19">
      <x:c r="A19" s="145" t="str">
        <x:v>Importante: os prazos deste modelo usam horas corridas. Para contratos com horário útil, feriados ou pausas formais de SLA, adapte a regra antes de utilizar os indicadores como compromisso contratual.</x:v>
      </x:c>
      <x:c r="B19" s="146" t="str">
        <x:v>Importante: os prazos deste modelo usam horas corridas. Para contratos com horário útil, feriados ou pausas formais de SLA, adapte a regra antes de utilizar os indicadores como compromisso contratual.</x:v>
      </x:c>
      <x:c r="C19" s="146" t="str">
        <x:v>Importante: os prazos deste modelo usam horas corridas. Para contratos com horário útil, feriados ou pausas formais de SLA, adapte a regra antes de utilizar os indicadores como compromisso contratual.</x:v>
      </x:c>
      <x:c r="D19" s="146" t="str">
        <x:v>Importante: os prazos deste modelo usam horas corridas. Para contratos com horário útil, feriados ou pausas formais de SLA, adapte a regra antes de utilizar os indicadores como compromisso contratual.</x:v>
      </x:c>
      <x:c r="E19" s="146" t="str">
        <x:v>Importante: os prazos deste modelo usam horas corridas. Para contratos com horário útil, feriados ou pausas formais de SLA, adapte a regra antes de utilizar os indicadores como compromisso contratual.</x:v>
      </x:c>
      <x:c r="F19" s="146" t="str">
        <x:v>Importante: os prazos deste modelo usam horas corridas. Para contratos com horário útil, feriados ou pausas formais de SLA, adapte a regra antes de utilizar os indicadores como compromisso contratual.</x:v>
      </x:c>
      <x:c r="G19" s="146" t="str">
        <x:v>Importante: os prazos deste modelo usam horas corridas. Para contratos com horário útil, feriados ou pausas formais de SLA, adapte a regra antes de utilizar os indicadores como compromisso contratual.</x:v>
      </x:c>
      <x:c r="H19" s="147" t="str">
        <x:v>Importante: os prazos deste modelo usam horas corridas. Para contratos com horário útil, feriados ou pausas formais de SLA, adapte a regra antes de utilizar os indicadores como compromisso contratual.</x:v>
      </x:c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</x:row>
    <x:row r="20">
      <x:c r="A20" s="148" t="str">
        <x:v>Importante: os prazos deste modelo usam horas corridas. Para contratos com horário útil, feriados ou pausas formais de SLA, adapte a regra antes de utilizar os indicadores como compromisso contratual.</x:v>
      </x:c>
      <x:c r="B20" s="149" t="str">
        <x:v>Importante: os prazos deste modelo usam horas corridas. Para contratos com horário útil, feriados ou pausas formais de SLA, adapte a regra antes de utilizar os indicadores como compromisso contratual.</x:v>
      </x:c>
      <x:c r="C20" s="149" t="str">
        <x:v>Importante: os prazos deste modelo usam horas corridas. Para contratos com horário útil, feriados ou pausas formais de SLA, adapte a regra antes de utilizar os indicadores como compromisso contratual.</x:v>
      </x:c>
      <x:c r="D20" s="149" t="str">
        <x:v>Importante: os prazos deste modelo usam horas corridas. Para contratos com horário útil, feriados ou pausas formais de SLA, adapte a regra antes de utilizar os indicadores como compromisso contratual.</x:v>
      </x:c>
      <x:c r="E20" s="149" t="str">
        <x:v>Importante: os prazos deste modelo usam horas corridas. Para contratos com horário útil, feriados ou pausas formais de SLA, adapte a regra antes de utilizar os indicadores como compromisso contratual.</x:v>
      </x:c>
      <x:c r="F20" s="149" t="str">
        <x:v>Importante: os prazos deste modelo usam horas corridas. Para contratos com horário útil, feriados ou pausas formais de SLA, adapte a regra antes de utilizar os indicadores como compromisso contratual.</x:v>
      </x:c>
      <x:c r="G20" s="149" t="str">
        <x:v>Importante: os prazos deste modelo usam horas corridas. Para contratos com horário útil, feriados ou pausas formais de SLA, adapte a regra antes de utilizar os indicadores como compromisso contratual.</x:v>
      </x:c>
      <x:c r="H20" s="150" t="str">
        <x:v>Importante: os prazos deste modelo usam horas corridas. Para contratos com horário útil, feriados ou pausas formais de SLA, adapte a regra antes de utilizar os indicadores como compromisso contratual.</x:v>
      </x:c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</x:row>
    <x:row r="25" ht="45" customHeight="1">
      <x:c r="A25" s="1" t="str">
        <x:v>Revisão v2.0</x:v>
      </x:c>
      <x:c r="B25" s="193" t="str">
        <x:v>v2.0: cenários funcionais conferidos em cópia importada no Google Planilhas em 11/10/2026. Exemplos fictícios.</x:v>
      </x:c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</x:row>
    <x:row r="26" ht="45" customHeight="1">
      <x:c r="A26" s="1" t="str">
        <x:v>Capacidade</x:v>
      </x:c>
      <x:c r="B26" s="193" t="str">
        <x:v>Equipe C: limite simultâneo definido pelo gestor; REDISTRIBUIR só quando abertos &gt; capacidade. Atraso isolado: ATUAR SLA.</x:v>
      </x:c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</x:row>
    <x:row r="27" ht="45" customHeight="1">
      <x:c r="A27" s="1" t="str">
        <x:v>Conclusão</x:v>
      </x:c>
      <x:c r="B27" s="193" t="str">
        <x:v>Resolvido/Fechado requerem data de resolução. Cancelados ficam fora do SLA e do tempo médio.</x:v>
      </x:c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</x:row>
    <x:row r="28" ht="45" customHeight="1">
      <x:c r="A28" s="1" t="str">
        <x:v>Dados</x:v>
      </x:c>
      <x:c r="B28" s="193" t="str">
        <x:v>Chamados X mostra a primeira pendência. Dados inválidos não entram nos indicadores. Corrija também parâmetros em Listas.</x:v>
      </x:c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</x:row>
    <x:row r="29" ht="45" customHeight="1">
      <x:c r="A29" s="1" t="str">
        <x:v>SLA</x:v>
      </x:c>
      <x:c r="B29" s="193" t="str">
        <x:v>Concluídos válidos atendidos / concluídos válidos. Não inclui abertos ou cancelados. Sem amostra: n.a.</x:v>
      </x:c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</x:row>
    <x:row r="30" ht="45" customHeight="1">
      <x:c r="A30" s="1" t="str">
        <x:v>Filtro</x:v>
      </x:c>
      <x:c r="B30" s="193" t="str">
        <x:v>Listas B20 altera cartões, gráfico de prioridade e lista. Equipe exibe carga total de todos os responsáveis.</x:v>
      </x:c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</x:row>
    <x:row r="31" ht="45" customHeight="1">
      <x:c r="A31" s="1" t="str">
        <x:v>Limites</x:v>
      </x:c>
      <x:c r="B31" s="193" t="str">
        <x:v>200 chamados: 5:204; 8 responsáveis: 5:12. Ampliar exige fórmulas, referências, tabelas e validações; retestar.</x:v>
      </x:c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</x:row>
    <x:row r="32" ht="45" customHeight="1">
      <x:c r="A32" s="1" t="str">
        <x:v>Análise</x:v>
      </x:c>
      <x:c r="B32" s="193" t="str">
        <x:v>Listas B18 é referência para atraso; status atual. Não reconstrói situação histórica. Datas posteriores geram pendência.</x:v>
      </x:c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</x:row>
    <x:row r="33" ht="45" customHeight="1">
      <x:c r="A33" s="1" t="str">
        <x:v>Prioridades</x:v>
      </x:c>
      <x:c r="B33" s="193" t="str">
        <x:v>Dados incompletos, resolução vencida, resposta vencida, escalar, backlog. Empates pela ordem das linhas; dez visíveis.</x:v>
      </x:c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</x:row>
    <x:row r="34" ht="45" customHeight="1">
      <x:c r="A34" s="1" t="str">
        <x:v>Compatibilidade</x:v>
      </x:c>
      <x:c r="B34" s="193" t="str">
        <x:v>Testado por importação no Google Planilhas; aplicativo Excel não testado. Sem macros, horas úteis, notificações ou integração Power BI.</x:v>
      </x:c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</x:row>
    <x:row r="20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  <x:c r="M201" s="1"/>
      <x:c r="N201" s="1"/>
      <x:c r="O201" s="1"/>
      <x:c r="P201" s="1"/>
      <x:c r="Q201" s="1"/>
      <x:c r="R201" s="1"/>
      <x:c r="S201" s="1"/>
      <x:c r="T201" s="1"/>
      <x:c r="U201" s="1"/>
      <x:c r="V201" s="1"/>
      <x:c r="W201" s="1"/>
    </x:row>
    <x:row r="202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  <x:c r="R202" s="1"/>
      <x:c r="S202" s="1"/>
      <x:c r="T202" s="1"/>
      <x:c r="U202" s="1"/>
      <x:c r="V202" s="1"/>
      <x:c r="W202" s="1"/>
    </x:row>
    <x:row r="203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  <x:c r="R203" s="1"/>
      <x:c r="S203" s="1"/>
      <x:c r="T203" s="1"/>
      <x:c r="U203" s="1"/>
      <x:c r="V203" s="1"/>
      <x:c r="W203" s="1"/>
    </x:row>
    <x:row r="204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  <x:c r="R204" s="1"/>
      <x:c r="S204" s="1"/>
      <x:c r="T204" s="1"/>
      <x:c r="U204" s="1"/>
      <x:c r="V204" s="1"/>
      <x:c r="W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</x:row>
  </x:sheetData>
  <x:mergeCells>
    <x:mergeCell ref="A1:H1"/>
    <x:mergeCell ref="A3:H3"/>
    <x:mergeCell ref="A16:H20"/>
  </x:mergeCells>
  <x:pageMargins left="0.7" right="0.7" top="0.75" bottom="0.75" header="0.3" footer="0.3"/>
</x:worksheet>
</file>